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All (2)" sheetId="1" r:id="rId1"/>
  </sheets>
  <definedNames>
    <definedName name="_xlnm._FilterDatabase" localSheetId="0" hidden="1">'All (2)'!$A$3:$Y$389</definedName>
    <definedName name="_xlnm.Print_Area" localSheetId="0">'All (2)'!$A$3:$Y$382</definedName>
    <definedName name="_xlnm.Print_Titles" localSheetId="0">'All (2)'!$4:$4</definedName>
  </definedNames>
  <calcPr calcId="124519"/>
</workbook>
</file>

<file path=xl/calcChain.xml><?xml version="1.0" encoding="utf-8"?>
<calcChain xmlns="http://schemas.openxmlformats.org/spreadsheetml/2006/main">
  <c r="L366" i="1"/>
  <c r="M366" s="1"/>
  <c r="L365"/>
  <c r="M365" s="1"/>
  <c r="L361"/>
  <c r="M361" s="1"/>
  <c r="L306"/>
  <c r="L238"/>
  <c r="M238" s="1"/>
  <c r="L201"/>
  <c r="M201" s="1"/>
  <c r="L200"/>
  <c r="M200" s="1"/>
  <c r="L197"/>
  <c r="L132"/>
  <c r="L121"/>
  <c r="M121" s="1"/>
  <c r="L95"/>
  <c r="L69"/>
  <c r="L67"/>
  <c r="M67" s="1"/>
  <c r="L65"/>
  <c r="M65" s="1"/>
  <c r="L46"/>
  <c r="W388"/>
  <c r="T388"/>
  <c r="S388"/>
  <c r="Q388"/>
  <c r="P388"/>
  <c r="O388"/>
  <c r="N388"/>
  <c r="I388"/>
  <c r="Y387"/>
  <c r="Y389" s="1"/>
  <c r="W387"/>
  <c r="V387"/>
  <c r="U387"/>
  <c r="T387"/>
  <c r="S387"/>
  <c r="R387"/>
  <c r="Q387"/>
  <c r="P387"/>
  <c r="O387"/>
  <c r="N387"/>
  <c r="L387"/>
  <c r="I387"/>
  <c r="W386"/>
  <c r="T386"/>
  <c r="S386"/>
  <c r="Q386"/>
  <c r="P386"/>
  <c r="O386"/>
  <c r="N386"/>
  <c r="K386"/>
  <c r="J386"/>
  <c r="I386"/>
  <c r="V375"/>
  <c r="U375"/>
  <c r="M375"/>
  <c r="H375"/>
  <c r="V373"/>
  <c r="V372" s="1"/>
  <c r="V371" s="1"/>
  <c r="U373"/>
  <c r="U372" s="1"/>
  <c r="U371" s="1"/>
  <c r="M373"/>
  <c r="H373"/>
  <c r="M372"/>
  <c r="M371"/>
  <c r="H370"/>
  <c r="H369"/>
  <c r="V367"/>
  <c r="V366" s="1"/>
  <c r="V365" s="1"/>
  <c r="V364" s="1"/>
  <c r="V363" s="1"/>
  <c r="V362" s="1"/>
  <c r="V361" s="1"/>
  <c r="V360" s="1"/>
  <c r="U367"/>
  <c r="U366" s="1"/>
  <c r="U365" s="1"/>
  <c r="U364" s="1"/>
  <c r="U363" s="1"/>
  <c r="U362" s="1"/>
  <c r="U361" s="1"/>
  <c r="U360" s="1"/>
  <c r="H366"/>
  <c r="H365"/>
  <c r="H362"/>
  <c r="H361"/>
  <c r="M360"/>
  <c r="H354"/>
  <c r="H353"/>
  <c r="H352"/>
  <c r="H351"/>
  <c r="H348"/>
  <c r="H347"/>
  <c r="H344"/>
  <c r="H342"/>
  <c r="H340"/>
  <c r="V339"/>
  <c r="V338" s="1"/>
  <c r="U339"/>
  <c r="U338" s="1"/>
  <c r="M339"/>
  <c r="H339"/>
  <c r="H334"/>
  <c r="H331"/>
  <c r="V320"/>
  <c r="U320"/>
  <c r="H320"/>
  <c r="H319"/>
  <c r="V318"/>
  <c r="U318"/>
  <c r="M318"/>
  <c r="H318"/>
  <c r="H317"/>
  <c r="V316"/>
  <c r="U316"/>
  <c r="M316"/>
  <c r="H316"/>
  <c r="H315"/>
  <c r="H312"/>
  <c r="H309"/>
  <c r="V306"/>
  <c r="V305" s="1"/>
  <c r="U306"/>
  <c r="U305" s="1"/>
  <c r="M306"/>
  <c r="H306"/>
  <c r="M305"/>
  <c r="H305"/>
  <c r="H304"/>
  <c r="H301"/>
  <c r="H299"/>
  <c r="H294"/>
  <c r="V293"/>
  <c r="V292" s="1"/>
  <c r="V291" s="1"/>
  <c r="U293"/>
  <c r="U292" s="1"/>
  <c r="U291" s="1"/>
  <c r="M293"/>
  <c r="H293"/>
  <c r="H292"/>
  <c r="V289"/>
  <c r="V288" s="1"/>
  <c r="U289"/>
  <c r="U288" s="1"/>
  <c r="M289"/>
  <c r="H289"/>
  <c r="M288"/>
  <c r="H274"/>
  <c r="H273"/>
  <c r="V271"/>
  <c r="V270" s="1"/>
  <c r="V269" s="1"/>
  <c r="U271"/>
  <c r="U270" s="1"/>
  <c r="U269" s="1"/>
  <c r="M271"/>
  <c r="H271"/>
  <c r="H270"/>
  <c r="M269"/>
  <c r="H269"/>
  <c r="H267"/>
  <c r="H266"/>
  <c r="H262"/>
  <c r="H261"/>
  <c r="H260"/>
  <c r="M259"/>
  <c r="H259"/>
  <c r="H258"/>
  <c r="V256"/>
  <c r="V255" s="1"/>
  <c r="U256"/>
  <c r="U255" s="1"/>
  <c r="M256"/>
  <c r="H256"/>
  <c r="M255"/>
  <c r="H255"/>
  <c r="H254"/>
  <c r="V253"/>
  <c r="U253"/>
  <c r="M253"/>
  <c r="H253"/>
  <c r="H250"/>
  <c r="H249"/>
  <c r="H248"/>
  <c r="V244"/>
  <c r="U244"/>
  <c r="M244"/>
  <c r="H244"/>
  <c r="V242"/>
  <c r="V241" s="1"/>
  <c r="V240" s="1"/>
  <c r="V239" s="1"/>
  <c r="V238" s="1"/>
  <c r="V237" s="1"/>
  <c r="V236" s="1"/>
  <c r="V235" s="1"/>
  <c r="V234" s="1"/>
  <c r="V233" s="1"/>
  <c r="V232" s="1"/>
  <c r="V231" s="1"/>
  <c r="V230" s="1"/>
  <c r="V229" s="1"/>
  <c r="V228" s="1"/>
  <c r="U242"/>
  <c r="U241" s="1"/>
  <c r="U240" s="1"/>
  <c r="U239" s="1"/>
  <c r="U238" s="1"/>
  <c r="U237" s="1"/>
  <c r="U236" s="1"/>
  <c r="U235" s="1"/>
  <c r="U234" s="1"/>
  <c r="U233" s="1"/>
  <c r="U232" s="1"/>
  <c r="U231" s="1"/>
  <c r="U230" s="1"/>
  <c r="U229" s="1"/>
  <c r="U228" s="1"/>
  <c r="M242"/>
  <c r="H242"/>
  <c r="H241"/>
  <c r="M240"/>
  <c r="H239"/>
  <c r="H238"/>
  <c r="M237"/>
  <c r="H237"/>
  <c r="M236"/>
  <c r="H236"/>
  <c r="M235"/>
  <c r="H235"/>
  <c r="H234"/>
  <c r="H233"/>
  <c r="M232"/>
  <c r="M231"/>
  <c r="H231"/>
  <c r="H230"/>
  <c r="M228"/>
  <c r="H228"/>
  <c r="V225"/>
  <c r="V224" s="1"/>
  <c r="U225"/>
  <c r="U224" s="1"/>
  <c r="M225"/>
  <c r="H225"/>
  <c r="M222"/>
  <c r="H222"/>
  <c r="H221"/>
  <c r="H220"/>
  <c r="M219"/>
  <c r="H219"/>
  <c r="H218"/>
  <c r="H215"/>
  <c r="H214"/>
  <c r="H213"/>
  <c r="H211"/>
  <c r="M210"/>
  <c r="H210"/>
  <c r="V208"/>
  <c r="U208"/>
  <c r="H208"/>
  <c r="H207"/>
  <c r="V206"/>
  <c r="U206"/>
  <c r="M206"/>
  <c r="H206"/>
  <c r="H205"/>
  <c r="H204"/>
  <c r="V203"/>
  <c r="V202" s="1"/>
  <c r="V201" s="1"/>
  <c r="V200" s="1"/>
  <c r="V199" s="1"/>
  <c r="U203"/>
  <c r="U202" s="1"/>
  <c r="U201" s="1"/>
  <c r="U200" s="1"/>
  <c r="U199" s="1"/>
  <c r="M203"/>
  <c r="H203"/>
  <c r="H200"/>
  <c r="M199"/>
  <c r="H199"/>
  <c r="H198"/>
  <c r="V197"/>
  <c r="U197"/>
  <c r="M197"/>
  <c r="H197"/>
  <c r="V195"/>
  <c r="V194" s="1"/>
  <c r="V193" s="1"/>
  <c r="V192" s="1"/>
  <c r="V191" s="1"/>
  <c r="V190" s="1"/>
  <c r="U195"/>
  <c r="U194" s="1"/>
  <c r="U193" s="1"/>
  <c r="U192" s="1"/>
  <c r="U191" s="1"/>
  <c r="U190" s="1"/>
  <c r="H195"/>
  <c r="H194"/>
  <c r="H193"/>
  <c r="H192"/>
  <c r="H191"/>
  <c r="M190"/>
  <c r="H190"/>
  <c r="M189"/>
  <c r="H189"/>
  <c r="M188"/>
  <c r="H188"/>
  <c r="M187"/>
  <c r="H187"/>
  <c r="H186"/>
  <c r="M185"/>
  <c r="H185"/>
  <c r="M184"/>
  <c r="H184"/>
  <c r="M183"/>
  <c r="H183"/>
  <c r="H182"/>
  <c r="M181"/>
  <c r="H181"/>
  <c r="H179"/>
  <c r="V177"/>
  <c r="U177"/>
  <c r="U176" s="1"/>
  <c r="U175" s="1"/>
  <c r="U174" s="1"/>
  <c r="M177"/>
  <c r="V176"/>
  <c r="V175" s="1"/>
  <c r="V174" s="1"/>
  <c r="M176"/>
  <c r="H176"/>
  <c r="M175"/>
  <c r="H175"/>
  <c r="M174"/>
  <c r="M172"/>
  <c r="H172"/>
  <c r="M171"/>
  <c r="H170"/>
  <c r="H168"/>
  <c r="H167"/>
  <c r="H166"/>
  <c r="H165"/>
  <c r="H164"/>
  <c r="H163"/>
  <c r="H162"/>
  <c r="H161"/>
  <c r="H160"/>
  <c r="H159"/>
  <c r="H158"/>
  <c r="M157"/>
  <c r="H157"/>
  <c r="H156"/>
  <c r="H153"/>
  <c r="H151"/>
  <c r="V149"/>
  <c r="U149"/>
  <c r="M149"/>
  <c r="H149"/>
  <c r="V147"/>
  <c r="V146" s="1"/>
  <c r="U147"/>
  <c r="U146" s="1"/>
  <c r="M147"/>
  <c r="H147"/>
  <c r="M146"/>
  <c r="H146"/>
  <c r="H145"/>
  <c r="M143"/>
  <c r="H143"/>
  <c r="M142"/>
  <c r="H142"/>
  <c r="M141"/>
  <c r="H141"/>
  <c r="M140"/>
  <c r="H140"/>
  <c r="H139"/>
  <c r="H138"/>
  <c r="M136"/>
  <c r="H136"/>
  <c r="M135"/>
  <c r="H135"/>
  <c r="H133"/>
  <c r="V132"/>
  <c r="V131" s="1"/>
  <c r="V130" s="1"/>
  <c r="U132"/>
  <c r="U131" s="1"/>
  <c r="U130" s="1"/>
  <c r="M132"/>
  <c r="H132"/>
  <c r="M131"/>
  <c r="H131"/>
  <c r="M130"/>
  <c r="H130"/>
  <c r="H128"/>
  <c r="H127"/>
  <c r="H126"/>
  <c r="H125"/>
  <c r="H124"/>
  <c r="V123"/>
  <c r="U123"/>
  <c r="U122" s="1"/>
  <c r="U121" s="1"/>
  <c r="U120" s="1"/>
  <c r="U119" s="1"/>
  <c r="U118" s="1"/>
  <c r="U117" s="1"/>
  <c r="U116" s="1"/>
  <c r="U115" s="1"/>
  <c r="H123"/>
  <c r="V122"/>
  <c r="V121" s="1"/>
  <c r="V120" s="1"/>
  <c r="V119" s="1"/>
  <c r="V118" s="1"/>
  <c r="V117" s="1"/>
  <c r="V116" s="1"/>
  <c r="V115" s="1"/>
  <c r="M122"/>
  <c r="H122"/>
  <c r="H121"/>
  <c r="H120"/>
  <c r="M119"/>
  <c r="H119"/>
  <c r="M118"/>
  <c r="H118"/>
  <c r="M117"/>
  <c r="H117"/>
  <c r="M116"/>
  <c r="H116"/>
  <c r="M115"/>
  <c r="H115"/>
  <c r="H113"/>
  <c r="H112"/>
  <c r="H111"/>
  <c r="H109"/>
  <c r="H108"/>
  <c r="H107"/>
  <c r="V104"/>
  <c r="V103" s="1"/>
  <c r="V102" s="1"/>
  <c r="V101" s="1"/>
  <c r="V100" s="1"/>
  <c r="V99" s="1"/>
  <c r="V98" s="1"/>
  <c r="U104"/>
  <c r="U103" s="1"/>
  <c r="U102" s="1"/>
  <c r="U101" s="1"/>
  <c r="U100" s="1"/>
  <c r="U99" s="1"/>
  <c r="U98" s="1"/>
  <c r="M104"/>
  <c r="H104"/>
  <c r="M103"/>
  <c r="H103"/>
  <c r="H102"/>
  <c r="M101"/>
  <c r="H101"/>
  <c r="H100"/>
  <c r="H99"/>
  <c r="M98"/>
  <c r="H98"/>
  <c r="H97"/>
  <c r="M95"/>
  <c r="H95"/>
  <c r="M94"/>
  <c r="H94"/>
  <c r="M93"/>
  <c r="H93"/>
  <c r="M92"/>
  <c r="H92"/>
  <c r="H90"/>
  <c r="H87"/>
  <c r="M86"/>
  <c r="H86"/>
  <c r="M85"/>
  <c r="H85"/>
  <c r="H84"/>
  <c r="H82"/>
  <c r="H81"/>
  <c r="H80"/>
  <c r="H79"/>
  <c r="M78"/>
  <c r="H78"/>
  <c r="H77"/>
  <c r="H76"/>
  <c r="H75"/>
  <c r="V74"/>
  <c r="V73" s="1"/>
  <c r="U74"/>
  <c r="U73" s="1"/>
  <c r="H74"/>
  <c r="H73"/>
  <c r="H72"/>
  <c r="V71"/>
  <c r="V70" s="1"/>
  <c r="V69" s="1"/>
  <c r="V68" s="1"/>
  <c r="V67" s="1"/>
  <c r="V66" s="1"/>
  <c r="V65" s="1"/>
  <c r="V64" s="1"/>
  <c r="V63" s="1"/>
  <c r="V62" s="1"/>
  <c r="V61" s="1"/>
  <c r="V60" s="1"/>
  <c r="U71"/>
  <c r="U70" s="1"/>
  <c r="U69" s="1"/>
  <c r="U68" s="1"/>
  <c r="U67" s="1"/>
  <c r="U66" s="1"/>
  <c r="U65" s="1"/>
  <c r="U64" s="1"/>
  <c r="U63" s="1"/>
  <c r="U62" s="1"/>
  <c r="U61" s="1"/>
  <c r="U60" s="1"/>
  <c r="H71"/>
  <c r="H70"/>
  <c r="M69"/>
  <c r="H69"/>
  <c r="H68"/>
  <c r="H67"/>
  <c r="M66"/>
  <c r="H66"/>
  <c r="H65"/>
  <c r="H64"/>
  <c r="H63"/>
  <c r="M61"/>
  <c r="H61"/>
  <c r="H60"/>
  <c r="H58"/>
  <c r="V57"/>
  <c r="V56" s="1"/>
  <c r="U57"/>
  <c r="U56" s="1"/>
  <c r="M57"/>
  <c r="H57"/>
  <c r="M56"/>
  <c r="H56"/>
  <c r="H55"/>
  <c r="M54"/>
  <c r="H54"/>
  <c r="V53"/>
  <c r="V52" s="1"/>
  <c r="V51" s="1"/>
  <c r="V50" s="1"/>
  <c r="V49" s="1"/>
  <c r="V48" s="1"/>
  <c r="V47" s="1"/>
  <c r="V46" s="1"/>
  <c r="V45" s="1"/>
  <c r="V44" s="1"/>
  <c r="V43" s="1"/>
  <c r="U53"/>
  <c r="U52" s="1"/>
  <c r="U51" s="1"/>
  <c r="U50" s="1"/>
  <c r="U49" s="1"/>
  <c r="U48" s="1"/>
  <c r="U47" s="1"/>
  <c r="U46" s="1"/>
  <c r="U45" s="1"/>
  <c r="U44" s="1"/>
  <c r="U43" s="1"/>
  <c r="M53"/>
  <c r="H53"/>
  <c r="M52"/>
  <c r="H52"/>
  <c r="M51"/>
  <c r="H51"/>
  <c r="M50"/>
  <c r="H50"/>
  <c r="H49"/>
  <c r="M48"/>
  <c r="H48"/>
  <c r="M47"/>
  <c r="H47"/>
  <c r="M46"/>
  <c r="H46"/>
  <c r="H45"/>
  <c r="H44"/>
  <c r="H43"/>
  <c r="H42"/>
  <c r="V41"/>
  <c r="V40" s="1"/>
  <c r="V39" s="1"/>
  <c r="V38" s="1"/>
  <c r="V37" s="1"/>
  <c r="V36" s="1"/>
  <c r="V35" s="1"/>
  <c r="U41"/>
  <c r="U40" s="1"/>
  <c r="U39" s="1"/>
  <c r="U38" s="1"/>
  <c r="U37" s="1"/>
  <c r="U36" s="1"/>
  <c r="U35" s="1"/>
  <c r="M40"/>
  <c r="H40"/>
  <c r="M39"/>
  <c r="H39"/>
  <c r="M38"/>
  <c r="H38"/>
  <c r="H37"/>
  <c r="H36"/>
  <c r="H34"/>
  <c r="V32"/>
  <c r="U32"/>
  <c r="M32"/>
  <c r="H32"/>
  <c r="M25"/>
  <c r="H25"/>
  <c r="M24"/>
  <c r="H24"/>
  <c r="M23"/>
  <c r="H23"/>
  <c r="M22"/>
  <c r="H22"/>
  <c r="M21"/>
  <c r="H21"/>
  <c r="Z25"/>
  <c r="M20"/>
  <c r="H20"/>
  <c r="M19"/>
  <c r="H19"/>
  <c r="H17"/>
  <c r="M15"/>
  <c r="H15"/>
  <c r="M14"/>
  <c r="H14"/>
  <c r="H13"/>
  <c r="M12"/>
  <c r="H12"/>
  <c r="M11"/>
  <c r="H11"/>
  <c r="M10"/>
  <c r="H10"/>
  <c r="M9"/>
  <c r="H9"/>
  <c r="M8"/>
  <c r="H8"/>
  <c r="H7"/>
  <c r="H6"/>
  <c r="H5"/>
  <c r="H4"/>
  <c r="H386" l="1"/>
  <c r="L386"/>
  <c r="Q389"/>
  <c r="I389"/>
  <c r="T389"/>
  <c r="P389"/>
  <c r="Z388"/>
  <c r="M387"/>
  <c r="M389" s="1"/>
  <c r="V388"/>
  <c r="V389" s="1"/>
  <c r="O389"/>
  <c r="S389"/>
  <c r="V386"/>
  <c r="U386"/>
  <c r="Z371"/>
  <c r="L388"/>
  <c r="L389" s="1"/>
  <c r="N389"/>
  <c r="R389"/>
  <c r="U388"/>
  <c r="W389"/>
  <c r="Z389" l="1"/>
  <c r="U389"/>
</calcChain>
</file>

<file path=xl/sharedStrings.xml><?xml version="1.0" encoding="utf-8"?>
<sst xmlns="http://schemas.openxmlformats.org/spreadsheetml/2006/main" count="4843" uniqueCount="1056">
  <si>
    <t>Gamperaliya - Rapid Rural Development Programme - 2019</t>
  </si>
  <si>
    <t>No</t>
  </si>
  <si>
    <t>Name of the Project</t>
  </si>
  <si>
    <t>Electorate</t>
  </si>
  <si>
    <t>DS Division</t>
  </si>
  <si>
    <t>GN Division</t>
  </si>
  <si>
    <t>Sector</t>
  </si>
  <si>
    <r>
      <t>Length (</t>
    </r>
    <r>
      <rPr>
        <sz val="11"/>
        <color theme="1"/>
        <rFont val="Calibri"/>
        <family val="2"/>
        <scheme val="minor"/>
      </rPr>
      <t>km</t>
    </r>
    <r>
      <rPr>
        <b/>
        <sz val="11"/>
        <color theme="1"/>
        <rFont val="Calibri"/>
        <family val="2"/>
        <scheme val="minor"/>
      </rPr>
      <t>/</t>
    </r>
    <r>
      <rPr>
        <b/>
        <u/>
        <sz val="11"/>
        <color theme="1"/>
        <rFont val="Calibri"/>
        <family val="2"/>
        <scheme val="minor"/>
      </rPr>
      <t>m</t>
    </r>
    <r>
      <rPr>
        <b/>
        <sz val="11"/>
        <color theme="1"/>
        <rFont val="Calibri"/>
        <family val="2"/>
        <scheme val="minor"/>
      </rPr>
      <t>)
Area (Sq.m.)</t>
    </r>
  </si>
  <si>
    <t>Approved Amount</t>
  </si>
  <si>
    <t>Implementing Agency</t>
  </si>
  <si>
    <t>Name of the Contractor / Society</t>
  </si>
  <si>
    <t>Expenditure (Rs.Mn.)</t>
  </si>
  <si>
    <t>%</t>
  </si>
  <si>
    <t>A</t>
  </si>
  <si>
    <t>B1</t>
  </si>
  <si>
    <t>B2</t>
  </si>
  <si>
    <t>B3</t>
  </si>
  <si>
    <t>B4</t>
  </si>
  <si>
    <t>C</t>
  </si>
  <si>
    <t>D</t>
  </si>
  <si>
    <t>E</t>
  </si>
  <si>
    <t>F</t>
  </si>
  <si>
    <t>G</t>
  </si>
  <si>
    <t>No. of Beneficiaries</t>
  </si>
  <si>
    <t>Remarks</t>
  </si>
  <si>
    <t xml:space="preserve">කලායතන පාර ඩික්සන් මහතාගේ නිවස අසල අතුරු මාර්ගය කොන්ක්‍රීට් අතුරා සංවර්ධනය කිරීම </t>
  </si>
  <si>
    <t>Concreting 1st lane tekkawatta, Thanthirimulla East</t>
  </si>
  <si>
    <t>Bandaragama</t>
  </si>
  <si>
    <t>Panadura</t>
  </si>
  <si>
    <t>676 Hirana</t>
  </si>
  <si>
    <t>RA</t>
  </si>
  <si>
    <t>DS Panadura</t>
  </si>
  <si>
    <t>Samadhi Kantha Karya Sanvidanaya</t>
  </si>
  <si>
    <t xml:space="preserve">බටේලන්ද පාරේ සිතුම් දනව්ව අසල පසුකල විට ඇති පහල පාර කොන්ක්‍රීට් අතුරා සංවර්ධනය කිරීම </t>
  </si>
  <si>
    <t xml:space="preserve"> Concreting Dammathilaka Place, Kongahakotuwa, Thanthirimulla East</t>
  </si>
  <si>
    <t xml:space="preserve">බටේලන්ද පාර 04 වන පටුමග රත්නසිරි මහතාගේ නිවස ඇතුළු නිවාස පිහිටි මාර්ගයේ අවසන් කොටස කොන්ක්‍රීට් අතුරා සංවර්ධනය කිරීම </t>
  </si>
  <si>
    <t xml:space="preserve"> Concreting the last potion of 4th lane of Batelanda Road</t>
  </si>
  <si>
    <t>මනහර උයන ප්‍රධාන මාර්ගයේ ශ්‍රියන්ත මහතාගේ නිවස අසල ඉතිරි කොටස හා මනහර උයන පාර පන්සල පාර අසල අවසන් කොටස කොන්ක්‍රීට් අතුරා සංවර්ධනය කිරීම</t>
  </si>
  <si>
    <t>Concreting of the balance portion of Manahara Uyana Main Road (Close to Mr.Sriyanthas' House) and the last portion of Manahara Uyana Temple Road</t>
  </si>
  <si>
    <t>676 A Hirana West</t>
  </si>
  <si>
    <t>Vidura Jeyshta Purawesi Sanvidanaya</t>
  </si>
  <si>
    <t xml:space="preserve">හිරණ රත්නගිරියවත්ත 06 වන පටුමග කොන්ක්‍රීට් අතුරා සංවර්ධනය කිරීම </t>
  </si>
  <si>
    <t xml:space="preserve"> Concreting 6th Lane, Rathnagiriyawatta, Hirana</t>
  </si>
  <si>
    <t>පිංකෑල්ල පාර අවසානයේ නිශාන්ත මහතාගේ නිවස අසලින් ඇති අතුරු මාර්ගය කොන්ක්‍රීට් අතුරා සංවර්ධනය කිරීම</t>
  </si>
  <si>
    <t>Concreting the byroad close to Mr.nishantha at Pinkella Road</t>
  </si>
  <si>
    <t>හිරණ මැදහේනවත්ත පාර සුනිල් මහතාගේ කඩය අසලින් උඩට ඇති මාර්ගය කොන්ක්‍රීට් අතුරා සංවර්ධනය කිරීම</t>
  </si>
  <si>
    <t>Concreting the road close to Mr.Sunils boutique at Medahena watta, Hirana</t>
  </si>
  <si>
    <t xml:space="preserve">ගල්තුඩේ රේමන්ඩ් රේන්ජ්වත්ත කඩේ අසලින් පහලට ඇති අතුරු මාර්ගය කොන්ක්‍රීට් අතුරා සංවර්ධනය කිරීම </t>
  </si>
  <si>
    <t>Developing &amp;concreting of the by road going downward adjacent to the shop at RamondRangewatte,Galthude.</t>
  </si>
  <si>
    <t>677 Galthude</t>
  </si>
  <si>
    <t>ජයශ්‍රී පෙදෙස වෙන්දේසිවත්තට ඇති අතුරු මාර්ගය කොන්ක්‍රීට් අතුරා සංවර්ධනය කිරීම</t>
  </si>
  <si>
    <t>Developing &amp; cocreting of the by road at Wendesiwatte,Jaya Sri place.</t>
  </si>
  <si>
    <t>10A</t>
  </si>
  <si>
    <t xml:space="preserve">මොරටුවත්ත පොකුණ පාර කාණු දමා සංවර්ධනය කිරීම  </t>
  </si>
  <si>
    <t>Developing by making Dranage system of Pokuna road,Moratuwatte.</t>
  </si>
  <si>
    <t>ගල්තුඩේ දූව හංදිය පහන් මාලිගා දූව පාර අවසන් කොටස හා දකුණට ඇති අතුරු මාර්ගය කොන්ක්‍රීට් අතුරා සංවර්ධනය කිරීම</t>
  </si>
  <si>
    <t>Developing &amp; concreting of the last phase of Pahan Maliga Duwa road and the by road to the right,Duwa junction,Galthude.</t>
  </si>
  <si>
    <t>677 A Galthude North</t>
  </si>
  <si>
    <t>ගොඩැල්ල පාර ද ෆිනෑන්ස්වත්ත (ගගබඩ පාර) කොන්ක්‍රීට් අතුරා සංවර්ධනය කිරීම</t>
  </si>
  <si>
    <t>Developing &amp; concreting of the financewatte(Gangabada road)Godalla road.</t>
  </si>
  <si>
    <t>13A</t>
  </si>
  <si>
    <t>මහවල පලවන හරස් මාර්ගය සහන ඉඩමට යන මාර්ගය කොන්ක්‍රීට් අතුරා සංවර්ධනය කිරීම  (නව සංශෝධිත ව්‍යාපෘතියකි)</t>
  </si>
  <si>
    <t>Concreting the Mahawila 1st cross street and the road up to the land</t>
  </si>
  <si>
    <t>684 Malamulla East</t>
  </si>
  <si>
    <t>ගේට්ටුව හංදිය වජිරවත්ත මාර්ගය කොන්ක්‍රීට් අතුරා සංවර්ධනය කිරීම</t>
  </si>
  <si>
    <t>Concreting the Wajirawatta Road at Gate junction</t>
  </si>
  <si>
    <t>Swa Shakthi Sanvidanaya</t>
  </si>
  <si>
    <t>මණ්ඩාවල ගේට්ටුව හංදිය 02 වන හරස් වීදිය දකුණට ඇති දෙවට පාර කොන්ක්‍රීට් අතුරා සංවර්ධනය කිරීම (සංශෝධනයක්?)</t>
  </si>
  <si>
    <t>Developing &amp; concreting of the remaining section downward of peiris Jayawardane place,Galthude.</t>
  </si>
  <si>
    <t>පොකුණ පාර පුවක්වත්ත මාර්ගය කොන්ක්‍රීට් අතුරා සංවර්ධනය කිරීම</t>
  </si>
  <si>
    <t>Concreting the Puwakwatta Road at Pokuna Road</t>
  </si>
  <si>
    <t>684 A Malamulla West</t>
  </si>
  <si>
    <t>Diriya Wedihiti Samithiya</t>
  </si>
  <si>
    <t>ගල්ගොඩ කැලේ 01 වන පටුමග කොන්ක්‍රීට් අතුරා සංවර්ධනය කිරීම</t>
  </si>
  <si>
    <t>Concreting the 1st Lane at Galgodakele</t>
  </si>
  <si>
    <t>ධර්මාරාම පාර දෙල්ගහවත්ත මාර්ගය ඉතිරි කොටස කොන්ක්‍රීට් අතුරා සංවර්ධනය කිරීම</t>
  </si>
  <si>
    <t>Concreting the balance portion of Delgahawatta Road at Darmarama Road</t>
  </si>
  <si>
    <t>රණවිරු මාවත පොකුණ පාර 01 වන පටුමග කොන්ක්‍රීට් අතුරා සංවර්ධනය කිරීම</t>
  </si>
  <si>
    <t>Concreting the Pokuna Para 1st Lane at Ranawiru Mawatha</t>
  </si>
  <si>
    <t>වැරනියගහලන්ද මාර්ගය කොන්ක්‍රීට් අතුරා සංවර්ධනය කිරීම</t>
  </si>
  <si>
    <t>Concreting the Weraniyagahalanda Road</t>
  </si>
  <si>
    <t>684 B Kiriberiya</t>
  </si>
  <si>
    <t>Dilena Piyuma Mapiya Haula</t>
  </si>
  <si>
    <t>ලයිසන් දූව වත්ත මාර්ගය කොන්ක්‍රීට් අතුරා සංවර්ධනය කිරීම</t>
  </si>
  <si>
    <t>Concreting the Lision Doowa watta road</t>
  </si>
  <si>
    <t>වැවගොඩහේන 05 වෙනි පටුමග කොන්ක්‍රීට් අතුරා සංවර්ධනය කිරීම</t>
  </si>
  <si>
    <t>Concreting &amp; Development of 5th lane, wewagodahena.</t>
  </si>
  <si>
    <t>හිරණ පන්සල පාරේ ස්ප්‍රින් ෆ්ල්ඩ් හී ක්‍රීඩාංගනයේ රාත්‍රීයේ බඩී ක්‍රිකට් කටයුතු සඳහා සංවර්ධය කර සකස් කිරීම.</t>
  </si>
  <si>
    <t xml:space="preserve">Development of Playground at Spring Field, Hirana  to use at night </t>
  </si>
  <si>
    <t>PG</t>
  </si>
  <si>
    <t>ගල්තුඩේ ඉදිගහතොටුපල ශ්‍රී සිද්ධත්ථාරාම විහාරස්ථානයට 2KW ක සූරිය බල ශකිති පද්ධතියක් සවිකිරීම</t>
  </si>
  <si>
    <t>Installation of a solar power system of 2KW to Siddhaththarama Viharasthanaya,Indigahathotupola,Galthude.</t>
  </si>
  <si>
    <t>SE</t>
  </si>
  <si>
    <t>ශ්‍රී සුදර්ශනබිම්බාරාම විහාරස්ථානයට 2KW  ක සූර්ය බලශක්ති පද්ධතියක් සවිකිරීම</t>
  </si>
  <si>
    <t>Installation of a solar power system of 2KW to Sri Sudarshanabimbarama Viharaya</t>
  </si>
  <si>
    <t>සීලාරාම විහාරස්ථානයට 2KW ක සූර්ය බලශක්ති පද්ධතියක් සවිකිරීම</t>
  </si>
  <si>
    <t>Installation of a solar power system of 2KW to Seelarama  Viharaya</t>
  </si>
  <si>
    <t>වටබාගේ ශ්‍රී විවේකානන්දාශ්‍රම විහාරස්ථානයට 2KW ක සූර්ය බල ශක්ති පද්ධතියක් සවි කිරීම.</t>
  </si>
  <si>
    <t>Installation of a solar power system of 2KW to Vivekanandhashrama Viharasthanaya ,Watabage.</t>
  </si>
  <si>
    <t>685 B Kiriberiya</t>
  </si>
  <si>
    <t>කැරපන් ඇල සංවර්ධනය කිරීම</t>
  </si>
  <si>
    <t>Development of Kerapan Ela</t>
  </si>
  <si>
    <t>MI</t>
  </si>
  <si>
    <t xml:space="preserve">නැගෙනහිර/තන්තිරිමුල්ලේ තේක්ක වත්ත 01 වන පටුමග කොන්ක්‍රීට් අතුරා සකස් කර ගැනීම </t>
  </si>
  <si>
    <t>Concreting first lane thekkawatta, Thanthirimulla East</t>
  </si>
  <si>
    <t>Thanthirimulla East</t>
  </si>
  <si>
    <t>Kongahakotuwa Eksath Subhasadaka Samithiya</t>
  </si>
  <si>
    <t>-</t>
  </si>
  <si>
    <t>30 A</t>
  </si>
  <si>
    <t>ගිම්පත මාවත (දේවාල නව පාර ) දකුණට ඇති හරස් පාර ඉතිරි කොටස සංවර්ධනය කිරීම</t>
  </si>
  <si>
    <t>Concreting the balance portion of Right side cross street at Gimpatha Road</t>
  </si>
  <si>
    <t>672 C Miriyawatta/ Diggala</t>
  </si>
  <si>
    <t>31 A</t>
  </si>
  <si>
    <t>ගිම්පත මාවත (දේවාල නව පාර ) වමට ඇති හරස් පාර ඉතිරි කොටස සංවර්ධනය කිරීම</t>
  </si>
  <si>
    <t>Developing the balance portion of the Left side cross road of Gimpatha  Mawatha</t>
  </si>
  <si>
    <t>32 A</t>
  </si>
  <si>
    <t>පාඨලීරුක්කාරාම පාරේ අතුරු මාර්ගයක් වන පරණ ගල්ලෑලි සෑදූ නිවසට යන පාරේ ඉතිරි කොටස සංවර්ධනය කිරීම</t>
  </si>
  <si>
    <t>Development of the balance portion of the  byroad (the  entrance to old house made black boards) at Pataleerukkarama Road</t>
  </si>
  <si>
    <t>687 B Eluwila</t>
  </si>
  <si>
    <t xml:space="preserve">පුජ්‍ය කිරින්දේ සෝමාලෝක හිමි මාවත හා අතුරු පාර සංවර්ධනය කිරීම </t>
  </si>
  <si>
    <t>Developing Ven. Kirinde Somaloka Thero Mawatha and the by road</t>
  </si>
  <si>
    <t>673 Sarikkamulla</t>
  </si>
  <si>
    <t xml:space="preserve">රතු පල්ලිය පාර මැද කොටසසංවර්ධනය කිරීම </t>
  </si>
  <si>
    <t>Development of middle section of Rathu palliya Road</t>
  </si>
  <si>
    <t>Horethuduwa Eksath Subasadaka Samithiya</t>
  </si>
  <si>
    <t xml:space="preserve">රතු පල්ලිය පාරේ ඇති දෙවන හරස් පාර </t>
  </si>
  <si>
    <t>Development of Second Cross street of Rathupalliya Road</t>
  </si>
  <si>
    <t xml:space="preserve">කෙසෙල් වත්ත හන්දියේ පොදු සේවා මාවතේ දකුණට ඇති හරස් පාර </t>
  </si>
  <si>
    <t>Development of right side cross Street at Podu Sewa Mawatha, Keselwatha Junction</t>
  </si>
  <si>
    <t xml:space="preserve">ගම්මැද පාරේ අවසාන කොටස </t>
  </si>
  <si>
    <t>Developing the final section of the Gammeda Road</t>
  </si>
  <si>
    <t xml:space="preserve">ගිම්පත වෙල මැදින් ඇති හරස් පාර සංවර්ධනය කිරීම </t>
  </si>
  <si>
    <t>Developing the Cross street across the  Gimpatha  paddy field</t>
  </si>
  <si>
    <t xml:space="preserve"> 672 C Miriyawatta</t>
  </si>
  <si>
    <t>39 A</t>
  </si>
  <si>
    <t>පාලිත වික්‍රමසිංහ මහතාගේ නිවස අසල පාරේ කාණු පද්ධතිය සංවර්ධනය කිරීම</t>
  </si>
  <si>
    <t>Development of the drainage system of the road close to Mr.Palitha Wickramasinghes' house</t>
  </si>
  <si>
    <t>Pragathi Kantha Karya Sanvidanaya</t>
  </si>
  <si>
    <t xml:space="preserve">ජයමාවත බැසිල් වත්ත පාර සංවර්ධනය කිරීම </t>
  </si>
  <si>
    <t>Developing Bassil Wathgtha Road Jaya Mawatha</t>
  </si>
  <si>
    <t xml:space="preserve">ගිම්පත පාර දේවාල පාර දකුණට ඇති හරස් පාර </t>
  </si>
  <si>
    <t>Developing right side cross street at Dewala Road, Gimpatha Road</t>
  </si>
  <si>
    <t xml:space="preserve">ගම්පත දේවාල පාර සංවර්ධනය කිරීම </t>
  </si>
  <si>
    <t>Developing Gimpatha Dewala Road</t>
  </si>
  <si>
    <t>පින්වත්ත මීගහ කෝවිල පාර සව්දෙරියස් මහතාගේ නිවස පාර සංවර්ධනය කිරීම</t>
  </si>
  <si>
    <t>Developing the road leading to Mr. Sawderia's house, Meeghakowila Road, Pinwaththa</t>
  </si>
  <si>
    <t>696 Pinwatta</t>
  </si>
  <si>
    <t>Sri Saranapala Mawatha Eksath Subhasadaka Samithiya</t>
  </si>
  <si>
    <t xml:space="preserve">පින්වත්ත උපොසිතාරාමපාර ඉතිරි කොටස </t>
  </si>
  <si>
    <t>Developing the remaining section of  Upositrharama Road, Pinwaththa</t>
  </si>
  <si>
    <t>රජයේ නිවාස පාර කුලතිලක මහතාගේ නිවසට යන පාර සංවර්ධනය කිරීම</t>
  </si>
  <si>
    <t>Developing the road leading to Mr. Kulathilaka's house at Government Quarters Road</t>
  </si>
  <si>
    <t>සරණපාල මාවත 3 වැනි පටුමග රුචිර මහතාගේ නිවසට යන පාර  සංවර්ධනය කිරීම</t>
  </si>
  <si>
    <t>Developing the road Leading to Mr. Ruchira's house , 3rd Lane, Saranapala Mawatha</t>
  </si>
  <si>
    <t>පින්වත්ත අවසන් සිමා පාර  (නල්ලුරුව ජයන්ති මාවත කොටස )  සංවර්ධනය කිරීම</t>
  </si>
  <si>
    <t>Developing Last border road, Pinwatte ( Jayanthi Mawatha Section, Nalluruwa)</t>
  </si>
  <si>
    <t>696 B Pinwatta West</t>
  </si>
  <si>
    <t>Pinwatta Grameeya Deewara Sanvidanaya</t>
  </si>
  <si>
    <t>35 families</t>
  </si>
  <si>
    <t>පින්වත්ත ශ්‍රීලානන්ද පළමු පටුමග  සංවර්ධනය කිරීම.</t>
  </si>
  <si>
    <t>Developing Srilananda 1st Lane</t>
  </si>
  <si>
    <t>පින්වත්ත ගාලු පාර 2 වෙනි පටුමග  ( ඉතිරි කොටස ) සංවර්ධනය කිරීම.</t>
  </si>
  <si>
    <t>Developing 2nd lane, Galle road, Pinwatte (Remaining part)</t>
  </si>
  <si>
    <t>Paratta Gramiya Deewara Sanvidanaya</t>
  </si>
  <si>
    <t>නල්ලුරුව දිබ්බැද්ද පාරේ අරුනලු උයන මාර්ගය සංවර්ධනය කිරීම .</t>
  </si>
  <si>
    <t>Developing Arunalu Uyana Road at Dibbedda road</t>
  </si>
  <si>
    <t>692 Nalluruwa</t>
  </si>
  <si>
    <t>Financewatta Grama Sanwardana Samithiya</t>
  </si>
  <si>
    <t xml:space="preserve">ඕබට් සිල්වා මාවතේ ( නල්ලුරුව ) E  ඉන්ටර් සොයිසා නිවසට යන මාර්ගය සංවර්ධනය කිරීම .   </t>
  </si>
  <si>
    <t>Developing the road leading to E Inter Zoysa house , Orbert Silva Mawatha, Nalluruwa</t>
  </si>
  <si>
    <t xml:space="preserve">නල්ලුරුව වටරවුම් පාරේ ඕබට් සිල්වා මාවත පැත්තේ සිට දෙවන පටුමග සංවර්ධනය කිරීම. </t>
  </si>
  <si>
    <t>Developing the 2nd Lane from Orbert Silva Mawatha side at Circular Road , Nalluruwa</t>
  </si>
  <si>
    <t>පානදුර නල්ලුරුව ජයන්ති මාවතේ වම් පස පිහිටි  සොයිසා පාරේ ජගත් මහතාගේ නිවසට යන මාර්ගය සංවර්ධනය කිරීම.</t>
  </si>
  <si>
    <t>Developing the road leading to Mr. Jagath's house at Zoysa road, situated to the left side of Jayanthi Mawatha , Nalluruwa, Panadura</t>
  </si>
  <si>
    <t xml:space="preserve">නල්ලුරුව බෝධීරුක්ඛාරාම පාරේ  පන්සල ඉදිරියේ ගාමිණී මහතාගේ නිවස අසල පිහිටි මාර්ගය සංවර්ධනය කිරීම . </t>
  </si>
  <si>
    <t>Developing  the roads close to Mr. Gamini's house in front of the temple at Bodhirukkarama road, Nalluruwa</t>
  </si>
  <si>
    <t>සුභද්‍රාරාම මාවතේ අතුරු මාර්ගය - අදියර 1</t>
  </si>
  <si>
    <t>Developing by road Subahadrarama Mawatha</t>
  </si>
  <si>
    <t>672 D Paratta West</t>
  </si>
  <si>
    <t>කන්ද විහාර පාරේ අතුරු මාර්ගයේ අතුරු මාර්ගය</t>
  </si>
  <si>
    <t>Developing the by road at Kande Vihara Road</t>
  </si>
  <si>
    <t>රිවිදෙව්ගම 6වන පටුමගේ අතුරු මාර්ගය</t>
  </si>
  <si>
    <t>Developing the by road, 6th Lane, Rividewgama</t>
  </si>
  <si>
    <t>672 A Rividewgama</t>
  </si>
  <si>
    <t xml:space="preserve">රිවිදෙව්ගම රේන්බෝ ටෙරස් වතුයායේ අතුරු මාර්ගය </t>
  </si>
  <si>
    <t>Developing by road at Rainbow Terrace Estate, Rividewgama</t>
  </si>
  <si>
    <t>Eksath Subhasadaka Ha Maranadara Samithiya</t>
  </si>
  <si>
    <t xml:space="preserve">රිවිදෙව්ගම ප්‍රධාන මාර්ගයේ කොටසක් සංවර්ධනය සදහා </t>
  </si>
  <si>
    <t>Developing a section of the main road , Rividewgama</t>
  </si>
  <si>
    <t>60A</t>
  </si>
  <si>
    <t>වලාන පරණ ගාලු පාරෙන් හැරී නෙළුම් කාන්ති මහත්මියගේ නිවසට යන මාර්ගය (අංක 5/16, නෙළුම් හරස් පාර, වලාන, පානදුර) සංවර්ධනය කිරීම</t>
  </si>
  <si>
    <t>Development of the road ending Mrs.Nelum Kanthi (No.5/16, Nelum Cross Road, Walana)</t>
  </si>
  <si>
    <t>Walana</t>
  </si>
  <si>
    <t>Panadura Wedihiti Balamandalaya</t>
  </si>
  <si>
    <t xml:space="preserve">4.ගැමුණු මාවත ප්‍රජා ශාලාව යාබද මාර්ගය සංවර්ධනය කිරීම </t>
  </si>
  <si>
    <t>Developing the road adjoining community hall, Gamunu Mawatha</t>
  </si>
  <si>
    <t>672 Keselwatta</t>
  </si>
  <si>
    <t>Bo Sewana Samaja Sewa Padanama</t>
  </si>
  <si>
    <t>හිජ්රා මාවත දෙවන අතුරු මාර්ගය සංවර්ධනය කිරීම</t>
  </si>
  <si>
    <t>Development of Drainage System at Hiraj Mawatha</t>
  </si>
  <si>
    <t>Keselwatta Jeyshta Purawesi Sahana Sewa Padanama</t>
  </si>
  <si>
    <t>LB FINANCE යාබද මාර්ගය සංවර්ධනය කිරීම</t>
  </si>
  <si>
    <t>Developing the road adjoining LB Finance</t>
  </si>
  <si>
    <t xml:space="preserve">දිග්ගල පාර අතුරු මාර්ගය සංවර්ධනය </t>
  </si>
  <si>
    <t>Development of Al Mubarak Jumma Mosque, Keselwatte</t>
  </si>
  <si>
    <t>වත්තල්පොල අතුරු මාර්ගය සංවර්ධනය</t>
  </si>
  <si>
    <t>Development of Wattalpola by Road</t>
  </si>
  <si>
    <t>4 හිජ්රා අතුරු මාර්ගය සංවර්ධනය</t>
  </si>
  <si>
    <t>Developing the second by road , Hikjra Mawatha</t>
  </si>
  <si>
    <t xml:space="preserve">1.පුන්චිදෙනිය ප්‍රධාන මාර්ගය කොන්ක්‍රීට් කිරීම </t>
  </si>
  <si>
    <t>Concreting the main road, Punchideniya</t>
  </si>
  <si>
    <t>682 C Punchideniya</t>
  </si>
  <si>
    <t>Indrajothi Mawatha Subhasada Samithiya</t>
  </si>
  <si>
    <t xml:space="preserve">2. පාසල් පාර වලව්වත්ත පාර කොන්ක්‍රීට් කිරීම </t>
  </si>
  <si>
    <t>Concreting the Walaw Watte Road, School Road.</t>
  </si>
  <si>
    <t xml:space="preserve">කුරුප්පුමුල්ල ඇල්බට් පිරිස් මාවත ෆොන්සේකා වත්ත පාර </t>
  </si>
  <si>
    <t>Development of Fonseka Watte Road, Albert Peiris Mawatha, Kuruppumulla</t>
  </si>
  <si>
    <t xml:space="preserve">4. පුංචි දෙනියා පත්මසිරි මහතාගේ නිවාස අසල ඉතිරි කොටස කොන්ක්‍රීට් කිරීම </t>
  </si>
  <si>
    <t>Concreting the remaining section adjoining Mr. Pathmasiri's house</t>
  </si>
  <si>
    <t xml:space="preserve">5. තන්තිරිමුල්ල කුරුප්පුමුල්ල පාරේ ප්‍රදීප් කුමාර මහතාගේ නිවාස අසල කොටස කොන්ක්‍රීට් කිරීම </t>
  </si>
  <si>
    <t xml:space="preserve">ජෝති රතන මාවතේ අතුරු පාර කොන්ක්‍රීට් කිරීම </t>
  </si>
  <si>
    <t>Concreting the by road Jothi Rathna Mawatha</t>
  </si>
  <si>
    <t>683 Walapala</t>
  </si>
  <si>
    <t>682/a Kuruppumulla Jeyshta Purawesi Ekamuthuwa</t>
  </si>
  <si>
    <t>වත්තට වතුර එන නිසා එක මනුස්සයෙක් විරුද්ධ වෙනවා. - ලිඛිතව ගන්න</t>
  </si>
  <si>
    <t>2.ජේසන් පිරිස් මාවතේ ජේසන් පිරිස් මහතාගේ නිවාස ඉදිරිපිට අතුරු මාර්ගය කොන්ක්‍රීට් කිරීම</t>
  </si>
  <si>
    <t>Concreting the by road in front of Mr.Jason Peiris house at Jason Peiris Mawatha</t>
  </si>
  <si>
    <t>Lalitha wedihiti Samithiya</t>
  </si>
  <si>
    <t>3. අරියරත්නාරාම පාරේ සිසිර මහතාගේ නිවාස ආලින් ඇති අතුරු මාර්ගය කොන්ක්‍රීට් කිරීම</t>
  </si>
  <si>
    <t>Concreting the by road adjacent to Mr. Sisira's house Ariyarathnarama road</t>
  </si>
  <si>
    <t>2. ඩබ්.ඩි එල්. අප්පුහාමි මාවත කොන්ක්‍රීට් කිරීම</t>
  </si>
  <si>
    <t>Concreting W D L Appuhami Mawatha</t>
  </si>
  <si>
    <t>670 B Horethuduwa North</t>
  </si>
  <si>
    <t>3. සිරිමල් සොයිසා නිවාස ඉදිරිපිට පාර කොන්ක්‍රීට් කිරීම</t>
  </si>
  <si>
    <t>Concreting the road in front of Sirimal Zoysa house</t>
  </si>
  <si>
    <t xml:space="preserve">1.හොරේතුඩුව ගග ඉහල පාරේ කෙලවර කොටස කොන්ක්‍රීට් කිරීම </t>
  </si>
  <si>
    <t>Concreting the end sec tion of ganga ihala road , Horethuduwa</t>
  </si>
  <si>
    <t>670 Horethuduwa</t>
  </si>
  <si>
    <t xml:space="preserve">චන්ද්‍ර සේකර පාරේ අංක 22 ස්ථානයේ වමට ඇති පාර කොන්ක්‍රීට් කිරීම </t>
  </si>
  <si>
    <t>Concreting the road left of No 22 , Chandrasekara road</t>
  </si>
  <si>
    <t>Horethuduwa Jeyshta Purawesi Subhasadaka Samithiya</t>
  </si>
  <si>
    <t xml:space="preserve">2.එම්.ජේ.සී.මාවතේ කෙලවර ලේක්විව් ගාර්ඩන් හි පාර පිටුපස කොටස කොන්ක්‍රීට් කිරීම </t>
  </si>
  <si>
    <t>Concreting the area behind lake view garden road, at the end of  M J C Mawatha</t>
  </si>
  <si>
    <t>670 C Horethuduwa Middle</t>
  </si>
  <si>
    <t>1</t>
  </si>
  <si>
    <t>80A</t>
  </si>
  <si>
    <t>නාරම්පිටිය පුඤ්ඤානන්ද මාවත සුසාන භූමිය පාරේ පළමු පටුමග සංවර්ධනය කිරීම</t>
  </si>
  <si>
    <t>Development of 1st byroad of Cemetry Road at Narampitiya punnananda Mawatha</t>
  </si>
  <si>
    <t xml:space="preserve">696 A Narampitiya </t>
  </si>
  <si>
    <t xml:space="preserve">3.වාද්දුව කන්‍යාරාමය පාර ඉතිරි කොටස කොන්ක්‍රීට් කිරීම සඳහා  </t>
  </si>
  <si>
    <t>Concrete the remaining section of Wadduwa Convent road(St. Mary's Convent Road)</t>
  </si>
  <si>
    <t>697/B Palliyamankada</t>
  </si>
  <si>
    <t>St.Mariya Eksath Praja Mandalaya</t>
  </si>
  <si>
    <t xml:space="preserve">1.සුහද පටුමඟ අතුරු මාර්ගය සංවර්ධනය කිරීම </t>
  </si>
  <si>
    <t>Developing the by road at Suhada Lane</t>
  </si>
  <si>
    <t>673/A Henamulla</t>
  </si>
  <si>
    <t>Henamulla Subhasadaka Sangamaya</t>
  </si>
  <si>
    <t>3.සාවියා පාර 2 වන අතුරු මාර් ගය සංවර්ධනය කිරීම</t>
  </si>
  <si>
    <t>Developing the second by road at Savia road</t>
  </si>
  <si>
    <t xml:space="preserve">ශ්‍රී ජින මාවතේ ඇති යෝනක මාවත ඇතුලත අතුරු මාර්ගය කොන්ක්‍රීට්  අතුරා සංවර් ධනය  කිරීම </t>
  </si>
  <si>
    <t>Concreting of the by road in Yonaka Mawatha at Sri Jina mawatha, Henamulla</t>
  </si>
  <si>
    <t xml:space="preserve">මොරවින්න කවිරාජ මාවත කම්මල පාර සංවර්ධනය කිරීම </t>
  </si>
  <si>
    <t>Development of Kammala road, Kawiraja Mawatha, Moravinna</t>
  </si>
  <si>
    <t xml:space="preserve">689/ඒ  මොරවින්න ,කවිරාජ මාවත </t>
  </si>
  <si>
    <t>Morawinna Sarana Wedihiti Samithiya</t>
  </si>
  <si>
    <t xml:space="preserve">මොරවින්න කවිරාජ මාවත (සංවර්ධනය කිරීම ) නො.68/20 සිට 68/13 දක්වා නිවාස වලට යන පාර </t>
  </si>
  <si>
    <t>Development of the road leading to house from 68/20 to 68/B, Kawiraja Mawatha, Moravinna</t>
  </si>
  <si>
    <t xml:space="preserve">689/ඒ  මොරවින්න </t>
  </si>
  <si>
    <t>87A</t>
  </si>
  <si>
    <t xml:space="preserve">නලීන් පෙදෙස ඉතිරි කොටස කොන්ක්‍රීට් කිරීම      </t>
  </si>
  <si>
    <t>Concreting of the balance portion of Nalin Pedesa</t>
  </si>
  <si>
    <t>697 B Palliyamankada</t>
  </si>
  <si>
    <t>Suriyawila Govi Sanvidanaya, Thalpitiya South</t>
  </si>
  <si>
    <t>50 Families</t>
  </si>
  <si>
    <t>88A</t>
  </si>
  <si>
    <t xml:space="preserve">උපාලි මාවතේ ලොයිඩ් මහතාගේ නිවස අසලින් ඇති පාර සංවර්ධනය කිරීම </t>
  </si>
  <si>
    <t>Development of the road close to Mr. Loid at Upali Mawatha</t>
  </si>
  <si>
    <t>නල්ලූරුව සංඝානන්ද මාවත දෙවන පටුමඟ තුන්වන හරස් පාර නො.63 සිට නිවාස වලට යන පාර සංවර්ධනය කිරීම )</t>
  </si>
  <si>
    <t>Development of Second lane, Sangananda Mawatha, Nalluruwa ( developing the road leading to house from 63, 3rd  cross road)</t>
  </si>
  <si>
    <t>692/A Nalluruwa North</t>
  </si>
  <si>
    <t>Siyapatha Kantha Karya Sanvidanaya</t>
  </si>
  <si>
    <t xml:space="preserve"> නල්ලූරුව සංඝානන්ද මාවත දෙවන පටුමඟ දෙවන හරස් පාර නො. 16/සී නිවසේ සිට නිවාස වලට යන පාර සංවර්ධනය කිරීම )</t>
  </si>
  <si>
    <t>Development of Second lane, Sangananda Mawatha, Nalluruwa ( developing the road leading to house from No 16/C, 2nd  cross road)</t>
  </si>
  <si>
    <t>නල්ලූරුව සංඝානන්ද මාවත දෙවන පටුමඟ 4 වන හරස් පාර නො.18/10 බී නිවසේ සිට නිවාස වලට යන පාර සංවර්ධනය කිරීම</t>
  </si>
  <si>
    <t>Development of Second lane, Sangananda Mawatha, Nalluruwa ( developing the road leading to house from No 18/10B 4th  cross road)</t>
  </si>
  <si>
    <t>නල්ලූරුව ද සොයිසා පාර නො.18/8 නිවසේ සිට නිවාස වලට යන පාර සංවර්ධනය කිරීම )</t>
  </si>
  <si>
    <t>Develop the road leading to house from No18/8, de Zoysa road, Nalluruwa</t>
  </si>
  <si>
    <t xml:space="preserve">මෝදරවිල කර්මාන්ත පාරේ තුන්වන පටුමගේ  ‌නො. 22/7 නිවසේ සිට නිවාසවලට යන පාර සංවර්ධනය </t>
  </si>
  <si>
    <t>Develop the road leading to house from No 22/7 , 3rd lane, Industrial road, Modarawila</t>
  </si>
  <si>
    <t>94A</t>
  </si>
  <si>
    <t xml:space="preserve">නල්ලූරුව සංඝානන්ද මාවත පළමු පටුමඟ  (11 අදියර  347/7 සිට ඇති නිවාස වලට යන පාර සංවර්ධනය කිරීම </t>
  </si>
  <si>
    <t>Developing the ( road leading to house from No 347/7,) First Cross road at Sangananda Mawatha, Nalluruwa</t>
  </si>
  <si>
    <t xml:space="preserve">මුතුකුඩ වෙද මහතා ගේ නිවස යාබ﻿ද පාර සංවර්ධනය කිරීම </t>
  </si>
  <si>
    <t>Development of the road adjacent to the house of Aurvedic doctor Muthukuda</t>
  </si>
  <si>
    <t>682 Udahamulla</t>
  </si>
  <si>
    <t>Sirimal Uyana Maranadara saha Subhasadaka Samithiya</t>
  </si>
  <si>
    <t xml:space="preserve">හත්බෝධි මාවත (කොටසක් ) සංවර්ධනය කිරීම </t>
  </si>
  <si>
    <t>Development of (a Section of) Hat Bodhi Mawatha</t>
  </si>
  <si>
    <t xml:space="preserve">පෙරේරා මාවත පැත්තෙන් පැමිණ දකුණු අත පැත්තට සමඟි මාවත </t>
  </si>
  <si>
    <t>Development of Samagi Mawatha , to the right side of Perera Mawatha</t>
  </si>
  <si>
    <t xml:space="preserve">මාලිකා මියගේ නිවස පාර  </t>
  </si>
  <si>
    <t>Development of Road leading to Mrs. Malika's house</t>
  </si>
  <si>
    <t>681 Thanthirimulla</t>
  </si>
  <si>
    <t>N/M</t>
  </si>
  <si>
    <t xml:space="preserve">3.තිලක මාවත කෙළවර  සංවර්ධනය කිරිම </t>
  </si>
  <si>
    <t>Development of the end of Thilleke Mawatha</t>
  </si>
  <si>
    <t xml:space="preserve">2.මානෙල් මාවත දෙල්ගහ වත්ත පාර ඉතිරිව ඇති කොටස සංවර්ධනය කිරීම </t>
  </si>
  <si>
    <t>Development of the remaining section of Delgahawatta road , Manel Mawatha</t>
  </si>
  <si>
    <t>682A Kuruppumulla</t>
  </si>
  <si>
    <t>682 A Diriliya Kantha Samithiya</t>
  </si>
  <si>
    <t xml:space="preserve">3.කුරුප්පුමුල්ල පන්සල ඉදිරිපිට මුනතුංග මහත්මියගේ නිවසට යන පාර මැද කොටස </t>
  </si>
  <si>
    <t>Development of Middle Section of the road leading to Mrs. Munathunga's house in front of the temple , Kuruppumulla</t>
  </si>
  <si>
    <t xml:space="preserve">රනවිරු මෙත්සිරි සිල්වා පෙදෙස සහ ඩයස් පෙදෙස් යා කරන මාර්ගය සංවර්ධන කිරීම </t>
  </si>
  <si>
    <t>Development of the road which joins Ranaviru Methsiri Silva Place and Dias place</t>
  </si>
  <si>
    <t>683/A Walapala Pattiya</t>
  </si>
  <si>
    <t>ගැටළුසහගත</t>
  </si>
  <si>
    <t xml:space="preserve">5.ජෝතිරතන මාවත,දකුණු පස පළවන බොරළු පාර කොන්ක්‍රීට් කිරීම </t>
  </si>
  <si>
    <t>Concreting first gravel road to the right side of Jothirathana Mawatha</t>
  </si>
  <si>
    <t>3.වීරමන් පාර සංවර්ධනය කිරීම</t>
  </si>
  <si>
    <t>Development of Weeraman Road</t>
  </si>
  <si>
    <t>682 B Atambagoda</t>
  </si>
  <si>
    <t>4.චන්ද්‍රෙස්කර මාවතේ 03 වන පටුමග කොන්ක්‍රීට් කිරීම</t>
  </si>
  <si>
    <t>Concreting the 3rd lane at Chandrasekera Mawatha</t>
  </si>
  <si>
    <t>5.වික්‍රම මාවත සංවර්ධනය කිරීම</t>
  </si>
  <si>
    <t>Development of Wickrama Mawatha</t>
  </si>
  <si>
    <t>107A</t>
  </si>
  <si>
    <t>නල්ලූරුව සංඝානන්ද මාවත දෙවන පටුමඟ (4 වන හරස් මාර්ගය නො.18/5 සිට ඇති නිවාස වලට යන පාර සංවර්ධනය කිරීම )</t>
  </si>
  <si>
    <t>Development of Second lane, Sangananda Mawatha, Nalluruwa ( developing the road leading to house from No 18/5, 4th cross road)</t>
  </si>
  <si>
    <t>3.සල්ගාදු වත්ත වැඩිහිටි නිවාසය ඉදිරි පිට පාර ඉතිරි කොටස සංවර්ධනය කිරීම</t>
  </si>
  <si>
    <t>Development of the remaining section of road in front of Elders home at Salgadoo watte</t>
  </si>
  <si>
    <t>672 B Diggala</t>
  </si>
  <si>
    <t>4. මහකිත්ගම මහතුන් මහතාගේ නිවසට යන පාර සංවර්ධනය කිරීම</t>
  </si>
  <si>
    <t>Development of the road leading to Mr. Mahathun's house , Delgahawatta</t>
  </si>
  <si>
    <t>Sarana Wedihiti Samithiya</t>
  </si>
  <si>
    <t>5. දෙල්ගහවත්ත ජානක මහතාගේ නිවසට යන පාර සංවර්ධනය කිරීම සදහා</t>
  </si>
  <si>
    <t>Development of the road leading to Mr. Janaka's house, Delgahawatta</t>
  </si>
  <si>
    <t>111A</t>
  </si>
  <si>
    <t>නල්ලූරුව සංඝානන්ද මාවත දෙවන පටුමඟ වම් පස පළමු හරස් පාර නො.7/04 නිවසේ සිට නිවාස වලට යන පාර සංවර්ධනය කිරීම )මුදල් සංශෝධනය වේ .300,000.00</t>
  </si>
  <si>
    <t>Developing the road leading to house from No 7/04, First Cross road to the left of Second lane,Sangananda Mawatha, Nalluruwa</t>
  </si>
  <si>
    <t xml:space="preserve">ඊබට් ප්‍රනාන්දු මාවතේ ඉතිරි කොටස කොන්ක්‍රීට් කිරීම හා බෝක්කුව සාදා කාණු පද්ධතිය සකස් කිරීම </t>
  </si>
  <si>
    <t>Concreting the remaining section of Ebert Fernando Mawatha and Construction of the Culvert and the drainage System</t>
  </si>
  <si>
    <t>693 Dibbedda</t>
  </si>
  <si>
    <t>Dibbedda Akkara 18 Watta Subhasadaka Sangamaya</t>
  </si>
  <si>
    <t xml:space="preserve">දේවාල පාරේ වමට ඇති පාර සංවර්ධනය කිරීම </t>
  </si>
  <si>
    <t>Development of the road to the left of Devala Road</t>
  </si>
  <si>
    <t>Dibbedda Samagi Mawatha Subasadaka Samithiya</t>
  </si>
  <si>
    <t xml:space="preserve">ගුණසිරි සිල්වා මහතාගේ නිවස අසල පාර සංවර්ධනය කිරීම </t>
  </si>
  <si>
    <t>Development of the road adjacent  to  Mr. Gunasir Silva's house</t>
  </si>
  <si>
    <t xml:space="preserve">ලාල් සල්ගාදු මහතාගේ නිවස අසල පාර සංවර්ධනය කිරීම </t>
  </si>
  <si>
    <t>Development of the road adjacent to Mr. Lal Salgadoo's house</t>
  </si>
  <si>
    <t xml:space="preserve">නාලක සිල්වා මහතාගේ නිවස අසල පාර සංවර්ධනය කිරීම </t>
  </si>
  <si>
    <t>Development of the road adjacent to Mr. nalaka Silva's house</t>
  </si>
  <si>
    <t xml:space="preserve">සුධර්මාරාම පාරේ සුහද මාවතේ ඉතිරිව ඇති කොටස සංවර්ධනය කිරීම </t>
  </si>
  <si>
    <t>Development of the remaining section of Suhada Mawatha off Sudharmarama road</t>
  </si>
  <si>
    <t xml:space="preserve">වෙන්දේසීවත්ත සමන් මහතාගේ නිවස අසල පාරේ අවසාන කොටස සංවර්ධනය කිරීම </t>
  </si>
  <si>
    <t>Development of the last section of the road adjacent to Mr. Saman's house, Vendesi Watte</t>
  </si>
  <si>
    <t>693/A Dibbedda North</t>
  </si>
  <si>
    <t xml:space="preserve">අමාවිල් වත්ත 02 වන පටුමඟේ ඉතිරිව ඇති කොටස සංවර්ධධන කිරීම </t>
  </si>
  <si>
    <t>Development of the remaining section of 2nd lane , Amavil Watte</t>
  </si>
  <si>
    <t>150 + 9 families</t>
  </si>
  <si>
    <t xml:space="preserve">දිබ්බැද්ද සිරි නිකේථනාරාම පන්සල පසුකර දෙවන දකුණට ඇති මාර්ගය සංවර්ධනය කිරීම </t>
  </si>
  <si>
    <t>Development of the second road to the right , passing Siri Nikethanarama temple , Dibbedda</t>
  </si>
  <si>
    <t xml:space="preserve">යෝනක මාවත අතුරු මාර්ගය කොන්ක්‍රීට් කිරීම සඳහා </t>
  </si>
  <si>
    <t>Concreting the by way in Yonaka Mawatha</t>
  </si>
  <si>
    <t>675 Thotawattha</t>
  </si>
  <si>
    <t xml:space="preserve">සර් රාසීක් ෆරීඩ් අතුරු මාර්ගය කොන්ක්‍රීට් කිරීම </t>
  </si>
  <si>
    <t>Concreting Sir rasik Fareed by way</t>
  </si>
  <si>
    <t xml:space="preserve">තොටවත්ත පාර අතුරු මාර්ගය කොන්ක්‍රීට් කිරීම </t>
  </si>
  <si>
    <t>Concreting of the by way in Totawatta Road</t>
  </si>
  <si>
    <t>ප්‍රසම්පාදන වලට ගන්නා බව දන්වා මන්ත්‍රීට ලිපියක් යවන්න</t>
  </si>
  <si>
    <t>ඊබ්‍රහිම් පාර අතුරු මාර්ගය කොන්ක්‍රීට් කිරීම</t>
  </si>
  <si>
    <t>Concreting the by way in  Ibrahim road.</t>
  </si>
  <si>
    <t xml:space="preserve">ඊබ්‍රහිම් පාර තෙවෙනි අතුරු මාර්ගය කොන්ක්‍රීට් කිරීම  </t>
  </si>
  <si>
    <t>Concreting  the 3rd  by way in Ibrhim road.</t>
  </si>
  <si>
    <t>126A</t>
  </si>
  <si>
    <t xml:space="preserve">පල්ලිමුල්ල ගාලුපාර අතුරු මාර්ගය සංවර්ධනය කිරීම </t>
  </si>
  <si>
    <t>Development of the 4Th lane in Mangala Mawatha.</t>
  </si>
  <si>
    <t>674 Gorakapola</t>
  </si>
  <si>
    <t xml:space="preserve">2.සුගත නන්දනාරාම පාරට අයත් කනත්ත පිටුපස මාර්ගය සංවර්ධනය කිරීම </t>
  </si>
  <si>
    <t>Development of  the road behind the cemetery in Sugatha  Nandanarama road.</t>
  </si>
  <si>
    <t>679/A Walana  South</t>
  </si>
  <si>
    <t>Horethuduwa Uthura Jeyshta Purawesi Sangamaya</t>
  </si>
  <si>
    <t>3.සුගතනන්දනාරාමය පාර බෙක්කෙ ගම කනත්ත ඉදිරිපිට මාර් ගය සංවර්ධනය කිරීම</t>
  </si>
  <si>
    <t>Development of the road in front of Cemetery at Sugatha Nandanaramaya road Bekkegama.</t>
  </si>
  <si>
    <t xml:space="preserve">1.ගැමුණු මාවත,වසන්ත කළුආරච්චි මහතාගේ මර්ගය කොන්ක්‍රීට් කර සංවර්ධනය කිරීම </t>
  </si>
  <si>
    <t>Concreting &amp; Developing of the road of the road of Mr. Wasantha Kaluarachchi , Gemunu Mawathe.</t>
  </si>
  <si>
    <t>Sri Wijaya Wedihihi Sanvidanaya</t>
  </si>
  <si>
    <t xml:space="preserve">2.එම්.අරුණ නිශාන්ත කුරේ.එම් ඒ අනෝජ් කුරේ යන අයගේ මාර් ගය කොන්ක්‍රීට් කිරීම </t>
  </si>
  <si>
    <t>Concreting the road of Mr. M.Aruna Nishantha Cooray &amp; M.A. Anoj Cooray</t>
  </si>
  <si>
    <t>679/A Walana  North</t>
  </si>
  <si>
    <t xml:space="preserve">.අල්ලිස් ප්‍රනාන්දු මාවත,රනවිරු නයනප්‍රිය මාවතේ 11 වන පටුමඟ  සමගි මාවත සංවර්ධනය කිරීම සඳහා </t>
  </si>
  <si>
    <t>Development of Samagi Mawathe at lanellRanaviru Nayanapriya Mawatha, Allis Fernando Mawatha.</t>
  </si>
  <si>
    <t>698/A Maha Wadduwa , Weragama</t>
  </si>
  <si>
    <t>Weragama Praja Sanvardana Samithiya</t>
  </si>
  <si>
    <t xml:space="preserve">වේරගම සුනාමි විටෙර් බෝ පෙදෙස  සංවර්ධනය කිරීම </t>
  </si>
  <si>
    <t>Devolopment of Tsunmi  Viter Bo place Weragama.</t>
  </si>
  <si>
    <t>වේරගම සුනාමි සංකීර්ණයේ දකුණු පස වෙල වටා මාර්ගය සංවර්ධනය කිරීම</t>
  </si>
  <si>
    <t>Development of the road around the paddy field to the right of Tsunami complex , Weragama.</t>
  </si>
  <si>
    <t>මහ වාද්දුව තොටුපළ පාර 03 වන පටුමඟ සංවර්ධන කිරීම සදහා     සංශෝධන          01 වන පටුමග ලෙස අනුමත වී ඇත.</t>
  </si>
  <si>
    <t xml:space="preserve">Development of the 3rd lane at Thotupala road , Mahawadduwa. </t>
  </si>
  <si>
    <t>මහ වාද්දුව බෝධිරාජා මාවතෙ දෙල්ගහ වත්ත සෙත්සරණ නිවාස ඉදිරිපිට සංවර්ධනය කිරීම සඳහා  බෝධි මාවත ලෙස අනුමත වී ඇත.</t>
  </si>
  <si>
    <t>Development of the area infront of Sethsarana  house, Delgahawatte Bodhiraja Mawatha , Maha Wadduwa.</t>
  </si>
  <si>
    <t>698/A Maha Wadduwa</t>
  </si>
  <si>
    <t>2.මහේෂ් සේනානායක මහතාගේ ගේ ලඟ පාර</t>
  </si>
  <si>
    <t>Development of The road adjacent  to the house of  Mr.Mahesh Senanayake.</t>
  </si>
  <si>
    <t>671/A Gorakana South</t>
  </si>
  <si>
    <t>Sumudu Kantha Karya Sanvidanaya</t>
  </si>
  <si>
    <t xml:space="preserve">4.කඳුරු දූව තිලක පාරේ රන්දික මෝටර්ස් නමින් ඇති පාර සංවර්ධනය කිරීම </t>
  </si>
  <si>
    <t>Development of the road named Randika  Moters  , at Tilleke road Kaduruduwa.</t>
  </si>
  <si>
    <t xml:space="preserve">5.පරත්ත සේරීෆ් මාවත අවසාන කොටස සංවර් ධනය කිරීම </t>
  </si>
  <si>
    <t>Development of the last phase of Seriff  Mawatha , Paraththa.</t>
  </si>
  <si>
    <t xml:space="preserve">සාගර පෙදෙස ආර්.එස්.ප්‍රනාන්දු මාවත ජාතික නිවාස වලට යන පාරේ සාදා ඇති පාරේ ඉතිරි කොටස සංවර්ධනය කිරිම </t>
  </si>
  <si>
    <t>Development  of the remaining section of the road built at the road leading to national houses R.S. Fernando Mawathe  , Sagara place.</t>
  </si>
  <si>
    <t xml:space="preserve">685 Kadaveediya                                      </t>
  </si>
  <si>
    <t xml:space="preserve">ශ්‍රී ගුණරතන පාරේ 1 වන හරස් පාර .ඉතිරි කොටස සංවර්ධනය කිරීම </t>
  </si>
  <si>
    <t>Development  of the remaining section of the 1st  cross road, Sri Goonerathana  road.</t>
  </si>
  <si>
    <t>Siriliya Kantha Samithiya</t>
  </si>
  <si>
    <t>සාගර මාවත 1 අතුරු මාර්ගය සංවර් ධනය කිරීම  ගැටලු සහගතය</t>
  </si>
  <si>
    <t>Development  of the  1st by road Sagara Mawatha.</t>
  </si>
  <si>
    <t>අවලංගු කරන්න</t>
  </si>
  <si>
    <t>බඩු ගබඩා පාර නිවාස 20 යන අතුරු මාර් ගය සංවර් ධන කීරිම     නගර සභාවේ  හා සම්බන්ධිකරණ කමිටුවේ අනුමැතිය ලබා ගත යුතුය.</t>
  </si>
  <si>
    <t>Development of the by road leading to 20 houses at the Badu Gabada Niwasa Road</t>
  </si>
  <si>
    <t>685 B Kiriberiya West</t>
  </si>
  <si>
    <t>ඇසිතමේන්තු අගය රු.350,000 - සභාපති එවා ඇති ලිපියට පිලිතුරක් යවන්න</t>
  </si>
  <si>
    <t xml:space="preserve">සුගත මාවත 1 වන අතුරු මාර්ගයේ සාදා ඇති පාරේ ඉතිරි කොටස සංවර් ධනය කිරීම </t>
  </si>
  <si>
    <t>Development  of the remaining section of the road Constructed at the 1st by road , Sugatha Mawatha.</t>
  </si>
  <si>
    <t xml:space="preserve">ඩි.එස්.සේනානායක මාවතේ සහන් මහතාගේ ගොඩනැගිල්ල අසලින් යන අතුරු පාරේ කොටස සංවර් ධනය කිරීම </t>
  </si>
  <si>
    <t>Development of a section of the by road close to Mr.Sahan,s building , D.S.Senanayake Mawatha.</t>
  </si>
  <si>
    <t>Lalitha Vedihiti Sanvidanaya</t>
  </si>
  <si>
    <t>145A</t>
  </si>
  <si>
    <t>සඟබෝ මාවත ඩිගානි මහත්මියගේ නිවසට යන මාර්ගය සජවර්ධන කිරීම සඳහා</t>
  </si>
  <si>
    <t>Development of the road leading to Mrs. Dilanis' home</t>
  </si>
  <si>
    <t>පොකුණ පාර පළමු පටුමඟ නාරම්පිටිය</t>
  </si>
  <si>
    <t xml:space="preserve">Development of First Lane , Pokuna road Narampitiya </t>
  </si>
  <si>
    <t>696/A Narammpitiya</t>
  </si>
  <si>
    <t>Narampitiya Eksath Subhasadaka Samithiya</t>
  </si>
  <si>
    <t xml:space="preserve">පොකුණ පාර දෙවනි පටමුඟ  </t>
  </si>
  <si>
    <t>Development of Second Lane Pokuna road</t>
  </si>
  <si>
    <t xml:space="preserve">පොකුණ පාර අවසාන කොටස </t>
  </si>
  <si>
    <t>Development of Last section of Pokuna road</t>
  </si>
  <si>
    <t>149A</t>
  </si>
  <si>
    <t>දොලේවත්ත පටුමග සංවර්ධනය කිරීම</t>
  </si>
  <si>
    <t>Development of Dolewatta Patumaga</t>
  </si>
  <si>
    <t xml:space="preserve">විසුද්දාරාම පාර,පළමු පටුමඟ උතුරු තල්පිටිය </t>
  </si>
  <si>
    <t>Development of First lane,  Visuddarama road , Thalpitiya north.</t>
  </si>
  <si>
    <t>151A</t>
  </si>
  <si>
    <t>පානදුර, කෙසෙල්වත්ත, දිග්ගල පාර, මහකිත්ගම, අංක 74 ඒ ලිපිනයේ පදිංචි එච්. තිවංක ජයම්පති ප්‍රනාන්දු මහතාගේ නිවස සංවර්ධනය කිරීම</t>
  </si>
  <si>
    <t>Development of Mr. Thiwanka Jayampathis' home at No.74 A, Diggala Road, Mahakithgama, Keselwatta</t>
  </si>
  <si>
    <t>Mahakithgama</t>
  </si>
  <si>
    <t>HD</t>
  </si>
  <si>
    <t>152A</t>
  </si>
  <si>
    <t>කුමරතුංග මුනිදාස මාවත අතුරු මාර්ගය  කාණුව සංවර්ධනය කිරීම</t>
  </si>
  <si>
    <t xml:space="preserve">Development of the Drain at byroad of Kumarathunga Munidasa </t>
  </si>
  <si>
    <t xml:space="preserve">නෙළුම් මාවත පහළ කොටස සංවර් ධනය කිරීම </t>
  </si>
  <si>
    <t>Development of the lower section of Nelum Mawatha.</t>
  </si>
  <si>
    <t>686 Pattiya South</t>
  </si>
  <si>
    <t>Eksath Suhada Sewa Samithiya</t>
  </si>
  <si>
    <t xml:space="preserve">යහපත් එඩේරාගේ ක්‍යාරාමය පිහිටි පාර සංවර් ධන කිරීම </t>
  </si>
  <si>
    <t>Development of the Good Shepherd convent road.</t>
  </si>
  <si>
    <t>155A</t>
  </si>
  <si>
    <t>නැගෙනහිර/තන්තිරිමුල්ලේකෝන්ගහ කොටුව ප්‍රධාන පාරේ ඇති කාණු පද්ධතියේ ඉතිරි කොටස සකස් කර ගැනීම</t>
  </si>
  <si>
    <t>Development of the balance portion of the  Dranage system at Kongahakotuwa Main Road</t>
  </si>
  <si>
    <t>681 A Thanthirimulla East</t>
  </si>
  <si>
    <t>තුඩුව මේධානන්ද පාරේ චමල් ඉද්දගොඩගේ මහතාගේ නිවසට යන පාර සංවර්ධනය කිරීම</t>
  </si>
  <si>
    <t>Development of the road leading to Mr.Chamal Iddagodage's house  Medananda road,Thuduwa.</t>
  </si>
  <si>
    <t xml:space="preserve">තුඩුව අරියවංශ මාවතේ ඉතිරි කොටස සංවර් ධනය </t>
  </si>
  <si>
    <t>Development of the remaining section of Ariyawansha Mawatha,Thudawa.</t>
  </si>
  <si>
    <t>Eksath Jeyshta Purawesi Samithiya</t>
  </si>
  <si>
    <t>1850 families</t>
  </si>
  <si>
    <t>රොහාන් ද සිල්වා සහ මේදිස් මහත්මාගේ නිවාස පිහිටි මාවත සංවර්ධනය කිරීම</t>
  </si>
  <si>
    <t>Development of the road which houses of Mr.Rohan de Silva and Mr.Medis are located at.</t>
  </si>
  <si>
    <t>686 Uyankale</t>
  </si>
  <si>
    <t>Panadura Nagara Kalapeeya Govi Sanwidanaya</t>
  </si>
  <si>
    <t>අනුරාධ බලවික්‍රම මහතාගේ නිවස පිහිටි මාර්ගය සංවර්ධනයට</t>
  </si>
  <si>
    <t>Development of the road in which the house of Mr.Anuradha Balawickrama is located at.</t>
  </si>
  <si>
    <t>මෙල්වින් පටුමග කොටසක් සංවර්ධනය සදහා</t>
  </si>
  <si>
    <t>Development of a section of  Melvin lane.</t>
  </si>
  <si>
    <t xml:space="preserve">යු.ඩී.වින්සන් මහතාගේ නිවස පිහිටි පාරට දකුණු පසින් වු මාර්ගය සංවර්ධනය සදහා ( ගරාජය පිහිටි මාර්ගය) </t>
  </si>
  <si>
    <t>Development of the road to the right of the road in which Mr.U.D.Vincen's house is located at.(garage road)</t>
  </si>
  <si>
    <t xml:space="preserve"> යු.ඩී.වින්සන් මහතාගේ නිවස පිහිටි පාඓර් ඉතිරි කොටස සංවර්ධනය සදහා</t>
  </si>
  <si>
    <t>Development of the remaining section of the road in which Mr.U.D.Vincent's house is located at.</t>
  </si>
  <si>
    <t>ගුණානන්ද පාරේ ඉතිරි කොටස සංවර්ධනය සදහා</t>
  </si>
  <si>
    <t>Development of the remaining section of the Gunananda road.</t>
  </si>
  <si>
    <t xml:space="preserve">686 Pattiya </t>
  </si>
  <si>
    <t>ලලිත් ෆොන්සේකා මහතාගේ නිවස පිහිටි පාරේ අවසාන කොටස සංවර්ධනය සදහා</t>
  </si>
  <si>
    <t>Development of the laast section of the road in which Mr.Lalith Fonseka's house is located at.</t>
  </si>
  <si>
    <t>Eksath Suhadasewa Samithiya</t>
  </si>
  <si>
    <t>සන්රෙස් පෙර පාසල පිහිටි මාවතේ  ඉතිරි කොටස සංවර්ධනයට</t>
  </si>
  <si>
    <t>Development of the remaining part od the road in which Sunres preschool is locatd at.</t>
  </si>
  <si>
    <t>ශිලා මහත්මියගේ නිවස පිහිටි මාර්ගය සංවර්ධනය සදහා</t>
  </si>
  <si>
    <t>Development of the road in which the house of Mrs.Sheela is situated at.</t>
  </si>
  <si>
    <t>රේණුකා මහත්මියගේ නිවස පිහිටි පාරේ අවසන් කොටස සංවර්ධනය සදහා</t>
  </si>
  <si>
    <t>Development of last lap of the road in which Mrs.Renuka's house is situated at .</t>
  </si>
  <si>
    <t>2.බණ්ඩාරනායක මාවතේ 2 වන පටුමගේ ඇති පාර සංවර්ධනය සදහා</t>
  </si>
  <si>
    <t>Development of the road at 2nd lane , Bandaranayake Mawatha.</t>
  </si>
  <si>
    <t>687 Wekada west</t>
  </si>
  <si>
    <t>Eksath Subhasadaka Janatha Sabhawa</t>
  </si>
  <si>
    <t>5. මොදරවිල සුනාමි සංකීර්ණයේ අතුරු මාර්ගයක ඉතිරි කොටස සංවර්ධනය සදහා</t>
  </si>
  <si>
    <t>Development of the remaining section of the road at Tsunami complex, Modarawila.</t>
  </si>
  <si>
    <t>484 Families</t>
  </si>
  <si>
    <t>හොරණ පාරේ සමගි මාවතේ ඇති පාරේ ඉතිරි කොටස සංවර්ධනය සදහා</t>
  </si>
  <si>
    <t>Development ojf the remaining section of Samagi mawatha in Horana road.</t>
  </si>
  <si>
    <t>ෆොන්සේකා පාර පළමු පටුමග පාර සංවර්ධනය සදහා</t>
  </si>
  <si>
    <t>development of the First lane at Fonseka road.</t>
  </si>
  <si>
    <t>687 Wekada  North</t>
  </si>
  <si>
    <t>ලියොන් සිල්වා මාවත ඉතිරි කොටස සංවර්ධනය කිරීම</t>
  </si>
  <si>
    <t>Development of the balance section of Liyon Silva Mawatha.</t>
  </si>
  <si>
    <t>Thalpitiya North</t>
  </si>
  <si>
    <t>Grama Sanwardana Samithiya, Thalpitiya South</t>
  </si>
  <si>
    <t>ගාලු පාර චාමර හාඩ්වෙයාර් අසලින් වෙරළබඩ දෙසට ඇති අතුරු මාර්ගය ඉතිරි කොටස සංවර්ධනය කිරීම</t>
  </si>
  <si>
    <t>Development of the remaining part of the by road towards the beach near Chamara Hardwere Galle Road.</t>
  </si>
  <si>
    <t>ශිරාණි මහත්මියගේ නිවස අසලින් වෙරළබඩ දෙසට ඇති අතුරු මාර්ගය සංවර්ධනය කිරීම</t>
  </si>
  <si>
    <t>Development of the by road towards the beach adjacent to Mrs.Shirani′s  house.</t>
  </si>
  <si>
    <t>Grama Sanvardana Samithiya, Thalpitiya North</t>
  </si>
  <si>
    <t>මෙන්ඩිස් වෙද මාවතේ දෙවන පටුමග ඉතිරි කොටස සංවර්ධනය කිරීම</t>
  </si>
  <si>
    <t>Development of the remaining section of second lane at Mendis Veda Mawatha.</t>
  </si>
  <si>
    <t>ලක්ෂයක් ප්‍රමානවත් බැවින් ඉතිර කොටසට ලිඳක් සෑදීම සඳහා සංශෝධනයක් දමා ඇත.</t>
  </si>
  <si>
    <t xml:space="preserve">මැද පටුමගේ මිල්රෝයි මහතාගේ නිවසට යන පාර සංවර්ධනය කිරීම </t>
  </si>
  <si>
    <t>Development of the road leading to Mr.Milroy′s house at Meda Patumaga   ( middle lane)</t>
  </si>
  <si>
    <t>ජයතිලක මාවතේ ටුවින්කල් ස්ටාර් පෙරපාසල් පාර සංවර්ධනය කිරීම</t>
  </si>
  <si>
    <t xml:space="preserve">Development of Twinkle Star Pre – school road at Jayathilleke Mawatha.  </t>
  </si>
  <si>
    <t>685/A Kadaweediya North</t>
  </si>
  <si>
    <t>උසාවිය ඉදිරිපිට නීතීඥ තිලක් වන්නිගම මහතාගේ නිවස අසලින් යන මාර්ගය සංවර්ධනය කිරීම</t>
  </si>
  <si>
    <t>Development of the road adjacent to Mr.Thilaka Wannigama′s house infront of the court.</t>
  </si>
  <si>
    <t xml:space="preserve">බෞද්ධාශ්‍රම විහාරය අසල මාර්ගයේ වම් පස හැරුණු පසු පාරේ ඉතිරි කොටස සංවර්ධනය කිරීම </t>
  </si>
  <si>
    <t>Development of the remaining section of the road after turning deft from the  road close Baudhashrama  Viharaya.</t>
  </si>
  <si>
    <t>මඩකුඹුර ගාලු පාරේ හැරුණු පසු දකුණු පස අතුරු මාර්ගය සංවර්ධනය කිරීම</t>
  </si>
  <si>
    <t>Development of the by road to the right turning from Galle road , Madakumbura.</t>
  </si>
  <si>
    <t>13 Families</t>
  </si>
  <si>
    <t>මහනාම පාරේ දකුණු පස දෙවන පටුමග සංවර්ධනය කිරීම</t>
  </si>
  <si>
    <t>Development of the second lane to the right , Mahanama road.</t>
  </si>
  <si>
    <t>685 Pattiya North</t>
  </si>
  <si>
    <t xml:space="preserve">චර්ච් ච් ඔෆ් ද රොක් දේවස්ථානය අසල ඇති හරස් පාර සංවර්ධනය කිරීම </t>
  </si>
  <si>
    <t>Development of the Cross road adjacent to church of the rock</t>
  </si>
  <si>
    <t xml:space="preserve">1.මල්මග මාවත සංවර්ධනය කිරීම සදහා </t>
  </si>
  <si>
    <t>Development of Malmaga Mawatha</t>
  </si>
  <si>
    <t>679 Walana</t>
  </si>
  <si>
    <t>2.ප්‍රගති මාවත සංවර්ධධනය කිරීම සදහා</t>
  </si>
  <si>
    <t>Development of Pragathi Mawatha</t>
  </si>
  <si>
    <t>4.මනහර පෙදෙස සංවර්ධධනය කිරීම සදහා</t>
  </si>
  <si>
    <t>Development of the Manahara place</t>
  </si>
  <si>
    <t>186A</t>
  </si>
  <si>
    <t xml:space="preserve">නැගෙනහිර/තන්තිරිමුල්ලේකෝන්ගහ කොටුව ශ්‍රි ධම්ම තිලක මාර්ගයේ වම්පසට ඇති අතුරුමාර්ගය සංවර්ධනය කර ගැනීම </t>
  </si>
  <si>
    <t xml:space="preserve">Develioment of the left side byroad at Sri Dammathilaka Mawatha, Kongahakotuwa </t>
  </si>
  <si>
    <t>Vishaka Kantha Karya Sanvidanaya</t>
  </si>
  <si>
    <t>වාද්දුව බාලිකාව පාර සංවර්ධනය කිරීම සදහා</t>
  </si>
  <si>
    <t>Develioment of Wadduwa Balika Road</t>
  </si>
  <si>
    <t>699 A Wadduwa South</t>
  </si>
  <si>
    <t>Deewara Subhasadaka Samithiya - Wadduwa South</t>
  </si>
  <si>
    <t>දම්පියගම අතුරු පාරක් සංවර්ධනය සදහා</t>
  </si>
  <si>
    <t>Develioment of a by road in Dampiyagama</t>
  </si>
  <si>
    <t>සමුද්‍රාරාම පාරේ ඉතිරි කොටස සංවර්ධනය කිරීම</t>
  </si>
  <si>
    <t>Develioment of the remaining section of Samudrarama Road</t>
  </si>
  <si>
    <t>700 A Wadduwa South</t>
  </si>
  <si>
    <t xml:space="preserve">වාද්දුව ගාලු පාරේ නෙවිල් මෝටර්ස්ස් ගරාජය අසල පළමු පාර සංවර්ධධනය කිරීම සදහා </t>
  </si>
  <si>
    <t>Develioment of the first road adjacent to the Nevil Motors garage , galle road, wadduwa</t>
  </si>
  <si>
    <t>704 Molligoda</t>
  </si>
  <si>
    <t>Sri Sumanarama Viharastha Dayaka Sabawa</t>
  </si>
  <si>
    <t>මොල්ලිගොඩ රුවන් ප්‍රින්ට් ආයතනයට යන පාර සංවර්ධධනය කිරීම සදහා</t>
  </si>
  <si>
    <t>Development of the road leading to Ruwan Printers, Molligoda</t>
  </si>
  <si>
    <t>මොල්ලිගොඩ ගිරිමානන්ද හරස් පටුමග සංවර්ධධනය කිරීම සදහා</t>
  </si>
  <si>
    <t>Development of Girirmananda cross lane, Molligoda</t>
  </si>
  <si>
    <t>193A</t>
  </si>
  <si>
    <t xml:space="preserve"> තිස්ස මාවත මැද බෑවුමේ සිට පරණ ගාලු පාර දක්වා ඇති පැති කාණුව සැකසීම </t>
  </si>
  <si>
    <t>Development of the side drain from middle slope up to Old Galle Road at Thissa Mawatha</t>
  </si>
  <si>
    <t>සායනය පාර සංවර්ධධනය කිරීම</t>
  </si>
  <si>
    <t>Develioment of Clinic Road</t>
  </si>
  <si>
    <t>675 A Ambalanduwa</t>
  </si>
  <si>
    <t>Gangula Wedihiti Sathkaraka Sanvidanaya</t>
  </si>
  <si>
    <t xml:space="preserve">බේකරිය පාර </t>
  </si>
  <si>
    <t>Develioment of Bakery road</t>
  </si>
  <si>
    <t>ස්කූවි වීව් පාර</t>
  </si>
  <si>
    <t>Develioment of Scoovy View road</t>
  </si>
  <si>
    <t>Indrajothi Mawatha Subhasadaka Sangamaya</t>
  </si>
  <si>
    <t>3.නලීම් හාජ්ජියාර් මාවත</t>
  </si>
  <si>
    <t>Develioment of Naleem Hajjiyar Mawatha</t>
  </si>
  <si>
    <t xml:space="preserve">5.තාහා පාර </t>
  </si>
  <si>
    <t>Develioment of Thaha Road</t>
  </si>
  <si>
    <t>6.ජාමියා පාර (විදුලි කණුවක් ඉවත් කොට)</t>
  </si>
  <si>
    <t>Develioment of Jamia road( By removing an electric pole)</t>
  </si>
  <si>
    <t>07 වන පටුමග ( නිසාම් මහතාගේ නිවසට යන පාර)</t>
  </si>
  <si>
    <t>Development of 7th lane (Road leading to Mr.Nisam′s house)</t>
  </si>
  <si>
    <t>675/A Ambalanduwa</t>
  </si>
  <si>
    <t>12 වන පටුමග(සිල්මියාගේ නිවසට යන පාර)</t>
  </si>
  <si>
    <t>Development of 12th lane (Road leading to the house of symiya)</t>
  </si>
  <si>
    <t>අඩි 5 නිසා අවංගු කරන්න</t>
  </si>
  <si>
    <t>ජවුෆර් හාජියාර් ලේන් ඉතිරි කොටස කොන්ක්‍රිට් කිරීම</t>
  </si>
  <si>
    <t>Concreting the remaining section of Javufer Hajiyar lane.</t>
  </si>
  <si>
    <t>4 වන පටුමග ( සල්මාන් හාජියාර් වත්ත)</t>
  </si>
  <si>
    <t>Development of 4th lane (Salman Hajiyar watte)</t>
  </si>
  <si>
    <t>09 වන පටුමග (නසූර්ඩින්ගේ නිවස ඉදිරිපිට පාර)</t>
  </si>
  <si>
    <t>Development of 9th lane (Road in front of Nasoordeen′s House)</t>
  </si>
  <si>
    <t>වෑකඩ පහන්ගම ගනේවත්ත පාර අවසන් කොටස සංවර්ධනය කිරීම</t>
  </si>
  <si>
    <t>Development of the last section of Ganewatte road , Pahangama , Wekada.</t>
  </si>
  <si>
    <t>687/A   Wekada</t>
  </si>
  <si>
    <t>Eluvila Prarthana Wedihiti Samithiya</t>
  </si>
  <si>
    <t>වෑකඩ සුදුවැල්ල මරණාධාර සමිති ශාලාව වටා තාප්පයක් ඉදිකිරීම</t>
  </si>
  <si>
    <t>Construction  of a wall surrounding the hall of Death Donation Society , Suduwella , Wekada.</t>
  </si>
  <si>
    <t>එළුවිල යොනක මාවතට අනුබද්ධ වෝල්ටර් සල්ගාදු මාවත පානදුර ප්‍රාදේශිය සභා කොට්ඨාශයට අයත් කොටස සංවර්ධනය කිරීම</t>
  </si>
  <si>
    <t xml:space="preserve">Development of the section belonging to Panadura Pradesheeya sabha division at  Walter Salgadoo Mawatha, Connected to Yonaka Mawatha , Eluvila. </t>
  </si>
  <si>
    <t>687/B      Eluvila</t>
  </si>
  <si>
    <t>තොටුපල පාර අතුරු මාර්ගය 1 සංවර්ධනය කිරීම</t>
  </si>
  <si>
    <t>Development of 1st by lane at Thotupola road.</t>
  </si>
  <si>
    <t>673/B Pallimulla</t>
  </si>
  <si>
    <t>Weragama Eksath Awamangalyadara saha Subasadaka Samithiya</t>
  </si>
  <si>
    <t>209A</t>
  </si>
  <si>
    <t>කම්මල පාරේ සිට ගාලු පාරට යන අතුරු මාර්ගය සංවර්ධනය කිරීම</t>
  </si>
  <si>
    <t>Development of byroad from Kammala Road up to Galle Road</t>
  </si>
  <si>
    <t xml:space="preserve">671 A Horethuduwa </t>
  </si>
  <si>
    <t>තොටුපල පාර අතුරු මාර්ගය 2සංවර්ධනය කිරීම</t>
  </si>
  <si>
    <t>Development of the by road 2 at Thotupola road.</t>
  </si>
  <si>
    <t>Development of the by road at Galle road , Pallimulla.</t>
  </si>
  <si>
    <t>චංද්‍රවංක පාර අතුරු මාර්ගය සංවර්ධනය කිරීම</t>
  </si>
  <si>
    <t>Development  of the by road at crescent road.</t>
  </si>
  <si>
    <t>213A</t>
  </si>
  <si>
    <t>මංගල මාවතේ දකුණට ඇති පලමු හරස් මාර්ගය (අසංග විමලවීර මහතාගේ නිවසට යන පාර ) සංවර්ධනය කිරීම</t>
  </si>
  <si>
    <t>Development of 1st cross street at Mangala Mawatha</t>
  </si>
  <si>
    <t>679 A Wala North</t>
  </si>
  <si>
    <t>214A</t>
  </si>
  <si>
    <t xml:space="preserve">ගැමුණු මාවත,ජූඩ් මහතාගේ නිවසට යන මර්ගය කොන්ක්‍රීට් කර සංවර්ධනය කිරීම </t>
  </si>
  <si>
    <t>Development of Gamunu Mawatha Ending at Mr. Judes' home</t>
  </si>
  <si>
    <t>නාරංපිටිය බුදු පිළිමය අසල මාර්ගය සංවර්ධනය කිරීම</t>
  </si>
  <si>
    <t>Development of the road close to Buddha's' strative</t>
  </si>
  <si>
    <t>696 B Narampitiya</t>
  </si>
  <si>
    <t>Narampitiya Wedihiti Samithiya</t>
  </si>
  <si>
    <t>දළදාවත්ත පාර වේරගම යාවෙන පාරේ මැද කොටස සංවර්ධනය කිරීම</t>
  </si>
  <si>
    <t xml:space="preserve">Development of the middle part of the road connecting Dalandawatta road &amp; weragama </t>
  </si>
  <si>
    <t>698 Wadduwa East</t>
  </si>
  <si>
    <t>Sarana Wedihiti Samithiya -702, Kuda wadduwa</t>
  </si>
  <si>
    <t>වේරගම පාරෙන් දකුණට හැරී යන සිරිල් ස්ටීවන් මහතාගේ නිවසට යන පාර</t>
  </si>
  <si>
    <t xml:space="preserve">Development of the road to </t>
  </si>
  <si>
    <t>මහ වාද්දුව පොදු සුසාන භූමියේ අළු තාප්පය අසල ඇති පාර සංවර්ධනය කිරීම</t>
  </si>
  <si>
    <t>Development of the road close to the boundry wall of the Vadduwa Public Cemetery</t>
  </si>
  <si>
    <t>රොබට් රූපසිංහ මාවත සංවර්ධනය කිරීම</t>
  </si>
  <si>
    <t>Development of Robert Rupasinghe Mawatha</t>
  </si>
  <si>
    <t>702 Kuda Wadduwa</t>
  </si>
  <si>
    <t>බැන්ඩිවෙල පාර තාර දැමීම</t>
  </si>
  <si>
    <t>Tarring of Bendiyawela Road</t>
  </si>
  <si>
    <t>702 A Patteliya</t>
  </si>
  <si>
    <t>වේරගම පාරේ 03 පටුමග තාර දැමීම සදහා (ටෙරන්ස් මහතාගේ නිවසට යන පාර)</t>
  </si>
  <si>
    <t>Tarring of 3rd Lane at Weragama Road (Road ending Mr. Terances' home)</t>
  </si>
  <si>
    <t>Grama Sanwardana Samithiya, 697 B Palliyamankada</t>
  </si>
  <si>
    <t>දළදාවත්ත පාරේ දකුණු දෙසට ඇති පළමු අතුරු පාර සංවර්ධනය සදහා ( පියෝරා අසලින් ඇති පාර)</t>
  </si>
  <si>
    <t>Development of1st ight side rbyroad at Dalandawatta Road (road close to Piyora Book Shop)</t>
  </si>
  <si>
    <t>223A</t>
  </si>
  <si>
    <t>පොකුණ පාර පළමු අදියර නාරම්පිටිය</t>
  </si>
  <si>
    <t>Development of Pokuna Road - Stage 1</t>
  </si>
  <si>
    <t>224A</t>
  </si>
  <si>
    <t>පොකුණ පාර දෙවන අදියර නාරම්පිටිය</t>
  </si>
  <si>
    <t>Development of Pokuna Road - Stage 2</t>
  </si>
  <si>
    <t>උඩුගල්ල 03 වන අළුත් පටුමග ( ප්‍රෙමදාස මහතාගේ නිවස යන පාර) සංවර්ධනය කිරීම</t>
  </si>
  <si>
    <t>Development of Udugalla 3rd new lane</t>
  </si>
  <si>
    <t xml:space="preserve">697 A Thalpitiya South </t>
  </si>
  <si>
    <t>උඩුගල්ල 03 වන පටුමග සංවර්ධනය කිරීම</t>
  </si>
  <si>
    <t>Development of 3rd lane, Udugalla</t>
  </si>
  <si>
    <t>උඩුගල්ල ඉන්ද්‍රජෝති මාවතේ ජානක මහතාගේ නිවස අසල සිට ආනන්ද මුදලාලිගේ කඩය දක්වා සංවර්ධනය කිරීම</t>
  </si>
  <si>
    <t>Development of Indrajothi Mawatha Udugalla,starting close to Mr.Janaka's house up to the shop of the bussinessman.</t>
  </si>
  <si>
    <t>දළදාවත්ත පටුමගේ වම් පස ඇති පළමු මාර්ගයේ ඉතිරි කොටස සංවර්ධනය කිරීම</t>
  </si>
  <si>
    <t>Development of the remaining section of the 1st road to the left of Daladawattha lane.</t>
  </si>
  <si>
    <t>දළදාවත්ත 02 වන පටුමගේ  මුල් කොටස සංවර්ධනය කිරීම</t>
  </si>
  <si>
    <t>Developping the starting portion of 2nd lane,Dalandawatta</t>
  </si>
  <si>
    <t>උඩුගල්ල මැද වාද්දුව නිමල්සිරි මහතාගේ නිවසට යන පාරේ ඉතිරි කොටස සංවර්ධනය කිරීම</t>
  </si>
  <si>
    <t>Development of the remaining section of theroad leading to Mr.Nimalsiri's house,Meda wadduwa, Udugalla</t>
  </si>
  <si>
    <t>Thalpitiya South Sooriyawila Govi Sanvidanaya</t>
  </si>
  <si>
    <t>දළදාවත්ත පාරේ වම් දෙසට ඇති පාරේහි මුල් කොටස සංවර්ධනය කිරීම ( තුෂාර මහතාගේ නිවසට යන පාර)</t>
  </si>
  <si>
    <t>Developmnt of the first section of the road to the left of Daladawatte road( leading to Mr.Thushara's house)</t>
  </si>
  <si>
    <t>මිහිදු මාවත හරස් මාර්ගය සංවර්ධනය කිරීම</t>
  </si>
  <si>
    <t xml:space="preserve">Development of cross street at Mihindu Mawatha </t>
  </si>
  <si>
    <t>674 B werawatta</t>
  </si>
  <si>
    <t>Wanitha Shakthi Kantha Karya Sanvidanaya</t>
  </si>
  <si>
    <t>මහවත්ත හරස් මාර්ගය සංවර්ධනය කිරීම</t>
  </si>
  <si>
    <t>Development of cross street at Mahawatta</t>
  </si>
  <si>
    <t>මිහිදු මාවත පාර සංවර්ධනය කිරීම</t>
  </si>
  <si>
    <t xml:space="preserve">Development of Mihindu Mawatha </t>
  </si>
  <si>
    <t>වෙද මාවත පොකුණ අසල මාර්ගය සංවර්ධනය කිරීම</t>
  </si>
  <si>
    <t>Development of the rode close to Weda  Mawatha Pokuna</t>
  </si>
  <si>
    <t>674 A Wattalpola</t>
  </si>
  <si>
    <t>Jayoda Wedihiti Samithiya</t>
  </si>
  <si>
    <t>වෙද මාවත හරස් මාර්ගය සංවර්ධනය කිරීම</t>
  </si>
  <si>
    <t xml:space="preserve">Development of cross street at Weda Mawatha </t>
  </si>
  <si>
    <t>යෝනක මාවතේ හරස් මාර්ගය සංවර්ධනය කිරීම</t>
  </si>
  <si>
    <t xml:space="preserve">Development of cross street at Yonaka Mawatha </t>
  </si>
  <si>
    <t>වත්තල්පොල චන්ද්‍රවංක පෙදෙස පාර සංවර්ධනය කිරීම</t>
  </si>
  <si>
    <t>Development of Wattalopla Crescent side road</t>
  </si>
  <si>
    <t>ජය මාවත ප්‍රධාන පාර සංවර්ධනය කිරීම</t>
  </si>
  <si>
    <t>Development of Main Road, Jaya Mawatha</t>
  </si>
  <si>
    <t>මොරවින්න සුධර්මාරාමය ඉදිරි පිට මාර්ගය සංවර්ධනය කිරීම</t>
  </si>
  <si>
    <t>Development of the Road in front of Sudaramaramaya, Morawinna</t>
  </si>
  <si>
    <t>689 A Morawinna</t>
  </si>
  <si>
    <t>කළුදෑවල අන්දර ගහ පාර 04 වන පටුමග සංවර්ධනය කිරීම</t>
  </si>
  <si>
    <t>Development of 4th Lane, Undaragaha road at Kaludewala</t>
  </si>
  <si>
    <t>689 Kaludewala</t>
  </si>
  <si>
    <t>පැණි අඹගහවත්ත පාර සංවර්ධනය කිරීම</t>
  </si>
  <si>
    <t>Development of Peni Ambagahawatta</t>
  </si>
  <si>
    <t>689 B Kaludewala East</t>
  </si>
  <si>
    <t>රෝහිණි වත්ත 01 වන හරස් පටුමග සංවර්ධනය කිරීම</t>
  </si>
  <si>
    <t>Development of 1st cross street at Rohini watta</t>
  </si>
  <si>
    <t>නාවැටිය පාර අතුරු පාර  ( කේ.ඩී.මහතාගේ නිවස අසල) සංවර්ධනය කිරීම</t>
  </si>
  <si>
    <t xml:space="preserve">Development of byroad at Nawetiya road </t>
  </si>
  <si>
    <t>680 Bekkegama</t>
  </si>
  <si>
    <t>Nawetiya Ekamuthu Sanvidanaya</t>
  </si>
  <si>
    <t>දොඩංගස්ලන්ද වත්ත මැද කොටස සංවර්ධනය කිරීම</t>
  </si>
  <si>
    <t>Development of  the middle portion of Dodangaslanda watta</t>
  </si>
  <si>
    <t>බෙක්කේගම වොල්බෝල් පිටිටනියේ උඩ පාර සංවර්ධනය කිරීම මුදල් සංශෝධන</t>
  </si>
  <si>
    <t>Development of the road above the volleyball ground at the Bekkegama.</t>
  </si>
  <si>
    <t>වැලිපැන්නගහවත්ත පාර සංවර්ධනය කිරීම  මුදල් සංශෝධන</t>
  </si>
  <si>
    <t>Development of the Welipannagahawattha road.</t>
  </si>
  <si>
    <t>248A</t>
  </si>
  <si>
    <t>Develoment of a part of Rividevgama Main Road</t>
  </si>
  <si>
    <t>249A</t>
  </si>
  <si>
    <t>සුභද්‍රාරාම මාවතේ අතුරු මාර්ගය සංවර්ධනය කිරීම</t>
  </si>
  <si>
    <t>Development of byroad at Subhadrarama Mawatha</t>
  </si>
  <si>
    <t>හොරණ පාරේ නිසාම් මුදලාලි මහත්මාගේ නිවස අසල පාර සංවර්ධනය සදහා</t>
  </si>
  <si>
    <t>Development of the road adjacent to the house of the busiessman Mr.Nisam at  horana road.</t>
  </si>
  <si>
    <t>Wekada</t>
  </si>
  <si>
    <t>251A</t>
  </si>
  <si>
    <t>නැගෙනහිර/තන්තිරිමුල්ල පාසල් මාවතේ හන්දියේ ගල්වල පාරට හැරෙන වම් පස පිහිටි පාසල් පටුමගේ අතුරු මාර්ගය සංවර්ධනය කිරීම</t>
  </si>
  <si>
    <t>Development of the byroad at Pasal Patumaga of the Pasal Mawatha</t>
  </si>
  <si>
    <t xml:space="preserve">හොරණ පාරේ මුසම්මිල් ගාඩ්න් පාර සංවර්ධනය සදහා  </t>
  </si>
  <si>
    <t>Development of Musammil Garden road off Horana road.</t>
  </si>
  <si>
    <t>හොරණ පාරේ මහජන බැංකුව අසල ඇති අතුරු පාර සංවර්ධනය සදහා</t>
  </si>
  <si>
    <t>Development of evelopment of the by road close to Peoples Bank in Horana the road.</t>
  </si>
  <si>
    <t>254A</t>
  </si>
  <si>
    <t>බෙක්කේගම වොල්බෝල් පිටිටනියේ උඩ පාර සංවර්ධනය කිරීම</t>
  </si>
  <si>
    <t>Development of the road close to the Wolly Ball Plaground at Bekkegama</t>
  </si>
  <si>
    <t>පාඨලීරුක්කාරාම පාරේ පරණ ගල්ලෑලි සෑදු නිවසට යන පාර සංවර්ධනය සදහා - 1 අදියර</t>
  </si>
  <si>
    <t>Development of the road leading to the house in which old chalkboards were made ,Patalirukkarama road.</t>
  </si>
  <si>
    <t>Wekada East</t>
  </si>
  <si>
    <t>පිංවල වෑකඩ යා කරන බෝක්කුව අසල වම් පැත්ත පාර සංවර්ධනය සදහා</t>
  </si>
  <si>
    <t>Developmet of the road to the left of the culvert connecting Pingwala Wekada.</t>
  </si>
  <si>
    <t>687 A Wekada East</t>
  </si>
  <si>
    <t>දේවාලවත්ත පාර සංවර්ධනය සදහා</t>
  </si>
  <si>
    <t>Development Devalawatte road.</t>
  </si>
  <si>
    <t>මොල්ලිගොඩ මහ විහාර පාරේ පොල්ගේ අසල රවීන්ද්‍ර මහතාගේ නිවසට යන පාර සංවර්ධනය කිරීම</t>
  </si>
  <si>
    <t>Development of the road leading to Mr.Ravindra's house adjacent to Polge,Mahavihara road,Molligoda.</t>
  </si>
  <si>
    <t>මොල්ලිගොඩ අරියවංශමාවතේ අමරසිංහ මහතාගේ නිවස දෙසට යන පාර සංවර්ධනය කිරීම</t>
  </si>
  <si>
    <t>Development of the road leading to Mr.Amarasinghe's house at Ariyawansha Mawatha,Molligoda.</t>
  </si>
  <si>
    <t>මිනුවම්පිටිය මාර්ගය සංවර්ධනය කිරීම</t>
  </si>
  <si>
    <t>Development of Minuwampitiya Road</t>
  </si>
  <si>
    <t>වත්තල්පොල පාර සංවර්ධනය කිරීම</t>
  </si>
  <si>
    <t>Development of Wattalpola Road</t>
  </si>
  <si>
    <t>සුසන්ත මාවත සංවර්ධනය කිරීම</t>
  </si>
  <si>
    <t>Development of Susantha Mawatha</t>
  </si>
  <si>
    <t>වලාන පාරේ ඒකනායක නිවස අසලින් ඇති පැති මාර්ගය සංවර්ධනය කිරීම</t>
  </si>
  <si>
    <t>Development of  side road close to Mr.Ekanayakes' house at Walana road</t>
  </si>
  <si>
    <t>264A</t>
  </si>
  <si>
    <t>වැලිපැන්නගහ වත්ත පාර සංවර්ධනය කිරීම</t>
  </si>
  <si>
    <t>Development of Welipennagahawatta</t>
  </si>
  <si>
    <t>වලාන ධම්මානන්ද පාරේ ඉහළ කොටස සංවර්ධනය කිරීම</t>
  </si>
  <si>
    <t>Development of upper portion of  Dammananda Para</t>
  </si>
  <si>
    <t>වලාන පරණ ගාලු පාරේ ආප්ප කඩය අසලින් ඇති මාර්ගය සංවර්ධනය කිරීම</t>
  </si>
  <si>
    <t>Development of road close to Hopper shop at Old Galle Road, Walana</t>
  </si>
  <si>
    <t>වලාන පරණ ගාලු පාරේ භාරතී නිවස පිහිටි  මාර්ගය සංවර්ධනය කිරීම</t>
  </si>
  <si>
    <t>Development of the road close to Mr.Bharathis' home</t>
  </si>
  <si>
    <t>ධම්මානන්ද පාරේ 1 වන පටුමග   සංවර්ධනය කිරීම</t>
  </si>
  <si>
    <t>Development of 1st Lane at Dammananda Para</t>
  </si>
  <si>
    <t>ඩයස් පෙදෙස මාර්ගය සංවර්ධනය කිරීම</t>
  </si>
  <si>
    <t>Development of Dias Place Road</t>
  </si>
  <si>
    <t>පරාක්‍රම මාවත සංවර්ධනය කිරීම</t>
  </si>
  <si>
    <t>Development of Parakrama Road</t>
  </si>
  <si>
    <t>683 A Walapala Pattiya</t>
  </si>
  <si>
    <t>271A</t>
  </si>
  <si>
    <t>ආර් ඒස් ප්‍රනාන්දු මාවත කාණු පද්ධතිය සංවර්ධනය කිරීම</t>
  </si>
  <si>
    <t>Development of the dranage system at R S Fernando Mawatha</t>
  </si>
  <si>
    <t>685 D Sagara Pedesa</t>
  </si>
  <si>
    <t>වැකඩ සුනාමි නිවාස 3ඒ 3බී නිවාස අසල  මාර්ගය සංවර්ධනය කිරීම</t>
  </si>
  <si>
    <t>Development of the road close No.3A &amp; 3B Tsunami houses to Wekada</t>
  </si>
  <si>
    <t>687 Wekada West</t>
  </si>
  <si>
    <t>වෑකඩ සුනාමි නිවාස සංනීර්ණයේ 3සී 3ඩී  3ඒෆ් නිවාස අසල  මාර්ගය සංවර්ධනය කිරීම</t>
  </si>
  <si>
    <t>Development of the road close No.3C &amp; 3D Tsunami houses to Wekada</t>
  </si>
  <si>
    <t xml:space="preserve"> නල්ලුරුව සිරි සීවලි විදුහලේ සනීපාරක්ෂක පහසුකම් දියුණු කිරීම</t>
  </si>
  <si>
    <t>Repairing two toilets at Sirissvali School, Nalluruwa</t>
  </si>
  <si>
    <t>697 Nalluruwa</t>
  </si>
  <si>
    <t>SF</t>
  </si>
  <si>
    <t>ව්‍යාපෘතිය සංශෝධනය විය යුතුය</t>
  </si>
  <si>
    <t>එළුවිල අලෙවියා මුස්ලිම් විදුහලේ සනීපාරක්ෂක පහසුකම් දියුණු කිරීම</t>
  </si>
  <si>
    <t>Reconstruction of sanitary activities at Alevia Muslim school , Eluvila.</t>
  </si>
  <si>
    <t xml:space="preserve">ජිලාන් මහා විදුහල ක්‍රීඩා පිටිය සංවර්ධනය කිරීම </t>
  </si>
  <si>
    <t>Development of the play ground at Jilan College</t>
  </si>
  <si>
    <t>672 Keselwatte</t>
  </si>
  <si>
    <t>Divisional Engineering</t>
  </si>
  <si>
    <t>සංවර්ධනයට ක්‍රීඩාපිටියක් නොමැත</t>
  </si>
  <si>
    <t xml:space="preserve">වාද්දුව ශාන්ත මරියා  මහ විදුහලේ දිවා රාත්‍රී වොලිබෝල් ක්‍රීඩා පිටිය ඉදිකිරීම  හා ක්‍රීඩා පිටියේ තාප්පය සකස් කිරීම සඳහා </t>
  </si>
  <si>
    <t>Construction of the day and night Volleyball ground and wall of the play ground at St. Maries Maha Vidyalaya, Wadduwa</t>
  </si>
  <si>
    <t>699 Wadduwa West</t>
  </si>
  <si>
    <t>මහකිත්ගම ක්‍රීඩා භූමියේ ගේට්ටුව සවි කොට ඉතිරි කොටස සංවර්ධනය කිරීම</t>
  </si>
  <si>
    <t>Installing a gate to the play ground at Mahakithgama and developing the remaining section</t>
  </si>
  <si>
    <t>Diggala</t>
  </si>
  <si>
    <t>හේනමුල්ල ජිලාන් මහා විද්‍යාලය තුල මාර්ගය සංවර්ධන කිරීම ක්‍රීඩා පිටිය (සංශෙධන</t>
  </si>
  <si>
    <t>Developing the road inside the Jilan college, Henamulla</t>
  </si>
  <si>
    <t xml:space="preserve">තොටවත්ත අල්ෆාරියා ම.ම.විදුහලේ ක්‍රීඩා පිටිය තණකොල පිදලි විධිමත්ව සකස් කිරීම </t>
  </si>
  <si>
    <t>Arranging the play ground of Alfaria M.M Viduhala , Thotawatte by laying turf in an orderly manner</t>
  </si>
  <si>
    <t>675 Thotawatte</t>
  </si>
  <si>
    <t xml:space="preserve">පානදුර රාජකීය විදුහලේ ක්‍රීඩා පිටි සංවර්ධන කටයුතු </t>
  </si>
  <si>
    <t>Development work of the play ground at Rajakeeya Viduhala Panadura.</t>
  </si>
  <si>
    <t>686 B Pattiya</t>
  </si>
  <si>
    <t>ශ්‍රී සුමංගල බාලිකා විදුහලේ ක්‍රීඩා පිටිය සංවර්ධනය සදහා</t>
  </si>
  <si>
    <t>Development of the play ground of Sri Sumangala girls school.</t>
  </si>
  <si>
    <t>686 A Uyankele</t>
  </si>
  <si>
    <t>අගමැති බාලිකා විදුහලේ ක්‍රීඩා පිටිය සංවර්ධනය සදහා</t>
  </si>
  <si>
    <t>Development of the play ground of Agamathi Balika Viduhala.</t>
  </si>
  <si>
    <t>Agamethi Balika Viduhal Pasel Sanwardana Samithiya</t>
  </si>
  <si>
    <t>සාන්ත අන්තෝනි පිරිමි විදුහලේ ක්‍රීඩා පිටිය සංවර්ධනය කිරීම</t>
  </si>
  <si>
    <t>Development of the grounds at St.Anthonu′s boy's school.</t>
  </si>
  <si>
    <t>685 A Kadaweediya North</t>
  </si>
  <si>
    <t>අම්බලන්දුව ඉල්මා මුස්ලිම් විදුහලේ ක්‍රීඩාංගනයේ වේදිකාවේ ඉතිරි කොටස නිම කිරීම සදහා</t>
  </si>
  <si>
    <t>Completion of the platform at Ilma Muslim college playground, Ambalanduwa.</t>
  </si>
  <si>
    <t>440sq ft</t>
  </si>
  <si>
    <t>Pasal Sanwardana Samithiya</t>
  </si>
  <si>
    <t>පින්වත්ත වෙලේ ගෙදර කානු පද්ධතිය  සංවර්ධනය කිරීම</t>
  </si>
  <si>
    <t>Developing the drainage System at Welegedara, Pinnwaththa</t>
  </si>
  <si>
    <t>Pinwatte East</t>
  </si>
  <si>
    <t xml:space="preserve">පරත්ත ප්‍රගති මාවතේ කානු පද්ධතිය </t>
  </si>
  <si>
    <t>Development of the Drainage System at Pragathi Mawatha , Paraththa</t>
  </si>
  <si>
    <t>672/D Paraththa West</t>
  </si>
  <si>
    <t>288A</t>
  </si>
  <si>
    <t xml:space="preserve">තුඩුව මේධානන්ද මාවතේ ලලින් සොයිසා මහතා ගේ නිවස පිහිටි පාර සංවර් ධනය </t>
  </si>
  <si>
    <t>Development of Thuduwa Medananda road ending from Mr. Lalin Soyzas' house</t>
  </si>
  <si>
    <t xml:space="preserve">1.හිජ්රා මාවත කානු පද්ධතිය </t>
  </si>
  <si>
    <t>Development of the drainage System at Hiraj Mawatha</t>
  </si>
  <si>
    <t xml:space="preserve"> 672 Keselwatta</t>
  </si>
  <si>
    <t>Keselwatta Jeyshta Purawesi Sahanasewa Padanama</t>
  </si>
  <si>
    <t xml:space="preserve">4. චන්ද්‍රසේකර මාවතේ මහේෂ් මහතාගේ නිවස අසල කානුව ප්‍රතිසංස්කරණය </t>
  </si>
  <si>
    <t>Reconstruction of  the drain close to Mr. Mahesh's house, Chandrasekara Mawatha</t>
  </si>
  <si>
    <t>වලපල පොකුණ වත්තේ කානුව ප්‍රතිසංස්කරණය</t>
  </si>
  <si>
    <t>Reconstruction of  the drain at pokuna watte Walapola</t>
  </si>
  <si>
    <t>1.ඤානවිමල පාරේ පළමු පටුමගේ කානු පද්ධතිය</t>
  </si>
  <si>
    <t>Development of the Drainage System at First lane, Gnanawimala road</t>
  </si>
  <si>
    <t>670/B Horethuduwa North</t>
  </si>
  <si>
    <t xml:space="preserve">2.ගග ඉහල පාරේඅංක 112 ස්ථානයේ සිට ඉදිරියට කානු පද්ධතිය සැකසීම </t>
  </si>
  <si>
    <t>Construction of the drainage system starting from No.112 forward  ganaga ihala road</t>
  </si>
  <si>
    <t xml:space="preserve">670 Horethuduwa </t>
  </si>
  <si>
    <t>294A</t>
  </si>
  <si>
    <t>මේධානන්ද පාරට සමාන්තර ඇල මාර්ගය  සංවර්ධනය කිරීම</t>
  </si>
  <si>
    <t>Development of the stream parallel to the Medananda Road</t>
  </si>
  <si>
    <t xml:space="preserve">3. ගැමුණු මාවතේ බේකරිය ඉදිරිපස ඇති කානුව ආවරණ යොදා සැකසීම </t>
  </si>
  <si>
    <t>Construction of the drain with covers, in front of the bakery , Gamunu Mawatha</t>
  </si>
  <si>
    <t xml:space="preserve">1.  මඩකිස්ස අත්කම් නිවාස ඉදිරිපිට කානු පද්ධතිය සැකසීම </t>
  </si>
  <si>
    <t>Construction of the drainage system in front of the handcraft house, Madakissa</t>
  </si>
  <si>
    <t>297A</t>
  </si>
  <si>
    <t>මහානාම පාරේ දකුණුපස 2 වන පටුමග ඉතිරි කොටස සංවර්ධනය කිරීම</t>
  </si>
  <si>
    <t>Development of the balance portion of 2nd byroad at Mahanama Road</t>
  </si>
  <si>
    <t xml:space="preserve">වාද්දුව කැතරින් කුරේ මාවතේ ඇන්ටනි කුරේ මහතාගේ නිවස ඉදිරිපිට ඇති සපත්තු කානුව ඉවත් කොට නව කාණුවක් ඉදි කිරීම </t>
  </si>
  <si>
    <t xml:space="preserve">Development of new Drain instead of old shoe drain at Kethirin Kurey Mawatha (in front of Mr.Anthony Kurey' home), Wadduwa </t>
  </si>
  <si>
    <t>Wadduwa West</t>
  </si>
  <si>
    <t xml:space="preserve">ඩයස් පෙදෙස (ජෝතිරතන මාවතේ සිට )පාර වම් පස කාණුව ඉදි කිරීම් </t>
  </si>
  <si>
    <t>Construction of the drain on the left side of Dias Plase(from Jothirathana Mawatha)</t>
  </si>
  <si>
    <t>උපසේන මාවත කෙලවර බොක්කුව සහ කානුව ඉදිකිරීම (ෆොන්සේකා පාරට යනන )</t>
  </si>
  <si>
    <t>Construction of the Culvert and the drain at the end of Upasena Mawatha (going towards Fonseka Mawatha)</t>
  </si>
  <si>
    <t xml:space="preserve">යූ.සී‘.වත්ත පිටුපස විශාල කාණුව ඉදි කිරීම </t>
  </si>
  <si>
    <t>Construction of the big drain behind U.C Watte</t>
  </si>
  <si>
    <t>Kumuduvila Jeyshta Purawesi Samithiya</t>
  </si>
  <si>
    <t>ජන ජය නිවාස අසලින් එන විශාල කාණුව වෙල දක්වා ඉදිකිරීම</t>
  </si>
  <si>
    <t>Development of the Extending the big drain running close to Jana Jaya house up to the paddy field.</t>
  </si>
  <si>
    <t>Atambagoda</t>
  </si>
  <si>
    <t>ශ්‍රියා මාවත දකුණු පස කාණුව ( ද සිල්වා මාවත දක්වා) ඉදි කිරීම</t>
  </si>
  <si>
    <t>Construction of the drain at the right side of Shriya Mawatha (up to the Silva Mawatha)</t>
  </si>
  <si>
    <t xml:space="preserve">තොටවත්ත පාරට කාණු පද්ධතියක් ඉදි කිරීම </t>
  </si>
  <si>
    <t>Construction of the drainage system at Thotawatta Para</t>
  </si>
  <si>
    <t>675 Thotawatta</t>
  </si>
  <si>
    <t>ඊබ්‍රහිම් පාර අතුරු මාර්ගයට කාණු පද්ධතියක් සකස් කිරීම සංශෝධන</t>
  </si>
  <si>
    <t>Construction of the drainage  system for the by way in Ibrahim Road.</t>
  </si>
  <si>
    <t xml:space="preserve">3.කදුරුදූව ගැමුණු මාවත  (රවීන්ද්‍ර රණසිංහ මහතාගේ නිවස අසල )කාණු පද්ධතිය සකස් කිරිම </t>
  </si>
  <si>
    <t xml:space="preserve">Construction of the drainage system at Gemunu Mawatha. ( Close to the house of Mr.Ravindra Ranasingha) </t>
  </si>
  <si>
    <t xml:space="preserve">කඳුරු දූව තුෂාර ජය ශාන්ත මහතාගේ නිවස අසල කානුව </t>
  </si>
  <si>
    <t xml:space="preserve">Construction of the drainage system at Gemunu Mawatha. ( Close to the house of Mr.Thushara Jayashantha) </t>
  </si>
  <si>
    <t>671/A Gorakana south</t>
  </si>
  <si>
    <t>නෙළුම් මාවත කානු පද්ධතිය සකස් කිරිම සංශෝධන</t>
  </si>
  <si>
    <t>Construction of the drainage system at Nelum Mawatha.</t>
  </si>
  <si>
    <t xml:space="preserve">කදුරුදූව තිලක පාර සුභසිංහ කඩේ අසල පැති කානුව සැකසීම </t>
  </si>
  <si>
    <t>Construction of the side drain near Subhasinghe shop , Tillake road , Kaduruduwa.</t>
  </si>
  <si>
    <t xml:space="preserve">අරලිය උයක පළමු හරස් පාර කාණුව සැලසිම </t>
  </si>
  <si>
    <t>Construction of the  drain at first cross road , Araliya Uyana.</t>
  </si>
  <si>
    <t>311A</t>
  </si>
  <si>
    <t>මිහානාම පාරේ දකුණුපස 1 වන පටුමග ඉතිරි කොටස සංවර්ධනය කිරීම</t>
  </si>
  <si>
    <t>Development of the balance portion of 1st byroad at Mahanama Road</t>
  </si>
  <si>
    <t xml:space="preserve">සයිමන් ගුණවර්ධන පාරේ කුණු අංගනය ඉදිරිපිට ඇති කානුව සංවර්ධනය කිරීම </t>
  </si>
  <si>
    <t>Development of the drain in front of the garbage duma , Siman Goonewardana road.</t>
  </si>
  <si>
    <t xml:space="preserve">685/ B Kadaveediya                                      </t>
  </si>
  <si>
    <t xml:space="preserve">විජේසූරිය මාවතේ 1 වන අතුරු මාර්ගයේ කාණු පද්ධතිය සංවර් ධනය කිරීම </t>
  </si>
  <si>
    <t>Construction of the drainage system at 1st byroad of Wijesuriya Mawatha</t>
  </si>
  <si>
    <t xml:space="preserve">ජනප්‍රිය මාවතේ සිට ජයතිලක මාවත දක්වා ඇති කාණු පද්ධතිය සංවර් ධනය කිරීම </t>
  </si>
  <si>
    <t>Development of the drainage system from Janapriya Mawatha to  Jayatillake Mawatha.</t>
  </si>
  <si>
    <t xml:space="preserve">ගාලු පාරේ සිට හැරෙන දකුණු පස කේතුමතිය පැත්තේ කාණුව සංවර් ධනය කිරිම </t>
  </si>
  <si>
    <t>Development of the drain on the right when turaing from Galle road, near Kethumathi.</t>
  </si>
  <si>
    <t>දොඹගහවත්ත කාණු පද්ධතිය සංවර්ධනය සදහා</t>
  </si>
  <si>
    <t>Development of the drainage system at Dombagahawatte.</t>
  </si>
  <si>
    <t>මෝදරවිල සුනාමි සංකීර්ණයේ කාණු පද්ධතියේ ඉතිරි කොටස සංවර්ධනය සදහා</t>
  </si>
  <si>
    <t>Development of the remaining part of the drain at Tsunami Complex , Moratuwa.</t>
  </si>
  <si>
    <t>687 Wekada  West</t>
  </si>
  <si>
    <t>Eksath Subasadaka Janatha Sabawa</t>
  </si>
  <si>
    <t>හොරණ පාරේ සමගි මාවතේ අවසන් කෙළවරේ කාණු පද්ධතිය ඉතිරි කොටස සංවර්ධනය සදහා</t>
  </si>
  <si>
    <t>Development of the remaining part of the drainage system at the end of Samagi Mawatha , Horana Road.</t>
  </si>
  <si>
    <t>පඥ්ඥානන්ද මාවතේ ඉතිරි කාණුව සංවර්ධනය කිරීම</t>
  </si>
  <si>
    <t>Development of the balance  drain at Pannananda Mawatha.</t>
  </si>
  <si>
    <t>සරත් කුලාංග මහතාගේ නිවස ඉදිරිපිට කාණුව සංවර්ධනය කිරීම</t>
  </si>
  <si>
    <t>Development of the drain in front of Mr.Sarath Kulanga′s House.</t>
  </si>
  <si>
    <t>ශ්‍රීමහ විහාර පාරේ ගාඩ්න් පෙර පාසල අසල සිට සුසන්ත මාවත නැගෙනහිර තෙක් කාණුව සකස් කිරීම</t>
  </si>
  <si>
    <t>Construction of the drain at Sri Maha Vihara road starting adjacent to Garden Pre - School  up to Susantha Mawatha , East.</t>
  </si>
  <si>
    <t>නිමල්කා උද්‍යානය පාරේ බෝක්කුව පැත්තේ දකුණු පස කාණු පද්ධතිය සංවර්ධනය කිරීම</t>
  </si>
  <si>
    <t>Development of the drainage system at the right side of Nimalka Gardens road near the culvert.</t>
  </si>
  <si>
    <t xml:space="preserve"> බෞද්ධාශ්‍රම විහාරය අසල පාරේ දකුණු පස හැරෙන පාරේ කාණුව සකස් කිරීම</t>
  </si>
  <si>
    <t>Constraction of the drain at the road turning right from the road  close to Baudhasrama Viharaya.</t>
  </si>
  <si>
    <t>324A</t>
  </si>
  <si>
    <t>සමුද්‍රාරාම විහාරස්ථානයේ වහලය සකස් කිරීම</t>
  </si>
  <si>
    <t>Development of the roof of Samudrarama Viharaya</t>
  </si>
  <si>
    <t>RC</t>
  </si>
  <si>
    <t>වීරසිංහ පටුමග වම් පස කානුව සමග පාර සංවර්ධනය කිරීම</t>
  </si>
  <si>
    <t>Development of Weerasinghe lane, along with the left side drain</t>
  </si>
  <si>
    <t xml:space="preserve">බතික්වත්ත පාර කාණු </t>
  </si>
  <si>
    <t>Development of the Drains at Bathikwatte road.</t>
  </si>
  <si>
    <t>එළුවිල කිරිබේරිය පාරේ සුහද මාවත කාණු සකස් කිරීම</t>
  </si>
  <si>
    <t>Construction of thedrains at Suhada Mawatha , Kiriberiya road, Eluvila.</t>
  </si>
  <si>
    <t>එළුවිල සම්සුදීන් මාවත හා අතුරු පාරේ කාණු සකස් කිරීම</t>
  </si>
  <si>
    <t>Construction of the drains at Samsudeen mawatha &amp; the by road, Eluvila.</t>
  </si>
  <si>
    <t>එළුවිල කිරිබේරිය පාරේ එඩ්මන් මාවත කාණුව සකස් කිරීම</t>
  </si>
  <si>
    <t>Construction of the drain at Edmon Mawatha , Kiriberiya road, Eluvila.</t>
  </si>
  <si>
    <t>උපාසිකාරාම කාණු පද්ධතිය කොටසක් ඉදිකිරීම</t>
  </si>
  <si>
    <t>Construction of a part of drainage system at Upasikarama Mawatha</t>
  </si>
  <si>
    <t>වෆා මාවත හරස් මාර්ගය කාණුව සංවර්ධනය කිරීම</t>
  </si>
  <si>
    <t>Construction of the drain at cross street of Wafa Mawatha</t>
  </si>
  <si>
    <t>Werawatta</t>
  </si>
  <si>
    <t>ගිම්පත නැදුම් උයන කාණුව සකස් කිරීම</t>
  </si>
  <si>
    <t>Construction of the drain at Nadun Uyana, Gimpatha</t>
  </si>
  <si>
    <t>සංශෝධන</t>
  </si>
  <si>
    <t xml:space="preserve">මහවත්ත හරස් මාර්ගය කාණුව සකස් කිරීම </t>
  </si>
  <si>
    <t>Construction of the drain at Mahawatta cross street</t>
  </si>
  <si>
    <t>වේරවත්ත ප්‍රධාන මාර්ගයේ සිට අතුරු මාර්ගයට යන කාණුව සකස් කිරීම</t>
  </si>
  <si>
    <t>Construction of the drain  system at Werawatta Road</t>
  </si>
  <si>
    <t>වෆා මාවත කාණුව සකස් කිරීම</t>
  </si>
  <si>
    <t>Construction of the drain at Wafa mawatha</t>
  </si>
  <si>
    <t>වෙද මාවත කාණුව සැකසීම</t>
  </si>
  <si>
    <t>Construction of the drain at Weda mawatha</t>
  </si>
  <si>
    <t>Wattalpola</t>
  </si>
  <si>
    <t>ජය මාවත හරස් මාර්ගය කාණු සංවර්ධනය කිරීම</t>
  </si>
  <si>
    <t>Construction of the drain at Jaya mawatha cross street</t>
  </si>
  <si>
    <t>මිනුවම්පිටිය පාර සහ කාණුව සංවර්ධනය කිරීම</t>
  </si>
  <si>
    <t>Construction of the road and the drain at Minuwampitiya Para</t>
  </si>
  <si>
    <t>වත්තල්පොල පාරේ කාණු පද්ධතිය   සංවර්ධනය කිරීම</t>
  </si>
  <si>
    <t>Construction of the drainage system at Wattalpola Para</t>
  </si>
  <si>
    <t>සුසන්ත මාවතේ කාණු පද්ධතිය   සංවර්ධනය කිරීම</t>
  </si>
  <si>
    <t>Construction of the drainage system at Susantha Mawatha</t>
  </si>
  <si>
    <t>Pattiya North</t>
  </si>
  <si>
    <t>වලාන පාරේ ඒකනායක නිවස අසලින් ඇති පැති මාර්ගය කාණු සැකසීම</t>
  </si>
  <si>
    <t>Construction of the side drain close to Mr.Ekanayakas' house at Walana Para</t>
  </si>
  <si>
    <t>342A</t>
  </si>
  <si>
    <t>මහ වාද්දුව ගංගා රාම විහාරස්ථානයේ සෝලාර් සූර්යය බල පද්ධතියක් සවි කිරීම..</t>
  </si>
  <si>
    <t>Installation of a Solar Power System in Gangarama Temple at Mahawadduwa</t>
  </si>
  <si>
    <t>වලාන පරණ ගාලු පාරේ ගල් වැඩපලට විරුද්ධ පැත්තේ අතුරු මාර්ගයේ කාණු පද්ධතිය   සංවර්ධනය කිරීම</t>
  </si>
  <si>
    <t>Development of Drainage system opposite to quarry at Old Galle Road, Walana</t>
  </si>
  <si>
    <t>වලාන ධම්මාන්නද පාරේ ඉහල කොටසේ කාණු පද්ධතිය  සැකසීම</t>
  </si>
  <si>
    <t>Construction of the drainage system at upper part of Dammananda Para</t>
  </si>
  <si>
    <t>වලාන ලෙනින් ප්‍රනාන්දු පාරේ කාණු පද්ධතිය සැකසීම</t>
  </si>
  <si>
    <t>Construction of the drainage system at Lenin Fernando Para, Walana</t>
  </si>
  <si>
    <t>පානදුර බාලිකා විදුහල පිටුපස පාරේ කාණුව සැකසීම.</t>
  </si>
  <si>
    <t>Construction of the drain behind the Panadura Balika Vidyalaya</t>
  </si>
  <si>
    <t>Kadaweediya</t>
  </si>
  <si>
    <t>ග්‍රේස් පීරිස් පාරේ කාණුව සැකසීම</t>
  </si>
  <si>
    <t>Construction of the drain at Grase Peirise Para</t>
  </si>
  <si>
    <t>Pattiya South</t>
  </si>
  <si>
    <t>ධම්මාන්නද පාරේ පළමු පටුමගේ කාණු පද්ධතිය  සැකසීම</t>
  </si>
  <si>
    <t>Construction of the drainage system at 1st Lane of Dammananda Para</t>
  </si>
  <si>
    <t>ශ්‍රියා මාවතේ කාණුව සැකසීම</t>
  </si>
  <si>
    <t>Construction of the drain at Sriya Mawatha</t>
  </si>
  <si>
    <t>පෙරේරා මාවතේ කාණු පද්ධතිය සැකසීම.</t>
  </si>
  <si>
    <t>Construction of the drain at Perera Patumaga</t>
  </si>
  <si>
    <t>සිල්වින් පටුමග කාණුව සැකසීම</t>
  </si>
  <si>
    <t>Construction of the drain at Silvia Patumaga</t>
  </si>
  <si>
    <t>වලාන පොලිස් දූෂණ මර්ධන ඒකකය ඉදිරිපිට කාණුව සැකසීම</t>
  </si>
  <si>
    <t>development of the drain on the side of Anti Coruption Unit , Perera Mawatha, Walana</t>
  </si>
  <si>
    <t>ජයතිලක මාවත පහල කොටස සහ කාණු පද්ධතිය   සංවර්ධනය කිරීම</t>
  </si>
  <si>
    <t>Construction of the road and the drainage system at lower part of Jayathilaka Mawatha</t>
  </si>
  <si>
    <t>නගර ශාලාව දකුණු පස ටෙනිස් පිටියට යාබද පොළ සංවර්ධනය කිරීම</t>
  </si>
  <si>
    <t>Development of the fair close to Tennis court, right side to the Town Hall Building</t>
  </si>
  <si>
    <t>RE</t>
  </si>
  <si>
    <t>4480sqft</t>
  </si>
  <si>
    <t>ගුණානන්ද හිමි අනුස්මරණ පුස්තකාලය අසල පොළ සංවර්ධනය කිරීම</t>
  </si>
  <si>
    <t>Development of the fair close to Gunananda Thero Memorial Library</t>
  </si>
  <si>
    <t xml:space="preserve">1.කුරුප්පුමුල්ල නගර සභා නිවාස සංකීර්ණයේ ළමා උද්‍යානය </t>
  </si>
  <si>
    <t>Development of a Children's park in Urban Council house complex,Kuruppumulla</t>
  </si>
  <si>
    <t>682 A Kuruppumulla</t>
  </si>
  <si>
    <t>SW</t>
  </si>
  <si>
    <t xml:space="preserve">2 . රිවිදෙව්ගම ශ්‍රී බෝධි රාජ විහාරස්ථානයේ දහම් පාසල් ගොඩනැගිල්ල සංවර්ධනය </t>
  </si>
  <si>
    <t>Development of the Sunday School building at Sri Bodhi Raja temple, Rividewgama</t>
  </si>
  <si>
    <t>672/A Rividewgama</t>
  </si>
  <si>
    <t>544sq ft</t>
  </si>
  <si>
    <t>Sisila Mawatha Praja Sanwaradana Ha Maranadara Samithiya</t>
  </si>
  <si>
    <t xml:space="preserve">2. කෙසෙල් වත්ත අල් මුබාරක් ජුම්මා පල්ලිය සංවර්ධනය කිරීම </t>
  </si>
  <si>
    <t xml:space="preserve">1. කෙසෙල් වත්ත මන්ඛා උල් නලිමියා ජුම්මා පල්ලිය සංවර්ධනය  </t>
  </si>
  <si>
    <t>Development of Manbaul Nalimiya Jumma Mosque, Keselwatte</t>
  </si>
  <si>
    <t>1.වාද්දුව ශුද්ධාත්මයාණන්ගේ දේවස්ථානයේ ප්‍රතිසංස්කරණ කටයුතු  සිදු කිරීම</t>
  </si>
  <si>
    <t xml:space="preserve">Restoration work of the Church of the Holy Spirit (Shudathmayanan) Wadduwa </t>
  </si>
  <si>
    <t>5.වාද්දුව,මොල්ලිගොඩ  සාන්ත පැට්රික් මුනිදුන්ගේ දේවස්ථානයේ ප්‍රතිසංස්කරණ කටයුතු සිදු කිරීම.</t>
  </si>
  <si>
    <t>Reconstruction work of St. Patricks Church, Molligoda , Wadduwa</t>
  </si>
  <si>
    <t>St.Patric Shuddathma Dev Medura Sanwardana Kamituwa</t>
  </si>
  <si>
    <t xml:space="preserve">2.පල්ලිමුල්ල රව්ලතුල් අශ්ප්‍රිය ජුම්මා පල්ලියේ ඇතුලත පාර සංවර්ධනය කිරීම </t>
  </si>
  <si>
    <t>Developing the road inside the Rawlathul Ashpriya Jumma Mosque, pallimulla</t>
  </si>
  <si>
    <t>673 A Henamulla</t>
  </si>
  <si>
    <t xml:space="preserve">4.කෙසෙල් වත්ත මුබාරක් මුස්ලිම් පල්ලිය ඇතුලත මාර්ගය සංවර්ධනය කිරීම </t>
  </si>
  <si>
    <t>Develop the road inside the Mubarak Muslim Mosque, Keselwatte</t>
  </si>
  <si>
    <t xml:space="preserve">ඉන්ද්‍රාරාමය සංවර්ධනය කිරීම </t>
  </si>
  <si>
    <t>Development of indraramaya</t>
  </si>
  <si>
    <t xml:space="preserve">ඉනුමුල් හසන් මස්ජීතයේ ගොඩනැගිල්ල සංවර්ධනය සඳහා </t>
  </si>
  <si>
    <t>Development of the building at Inamul Hassan Masjidh</t>
  </si>
  <si>
    <t>වැසිකිලියක ප්ලෑන් එකක් දුන්නා</t>
  </si>
  <si>
    <t xml:space="preserve">වේරගම ගංඟාතිලකාරාම විහාරස්ථානයේ ප්‍රතිසංස්කරණ කටයුතු සදහා </t>
  </si>
  <si>
    <t>restoration work of Gangatilakarama temple Weragama.</t>
  </si>
  <si>
    <t>Sri Gangathilakarama viharastha Karya Sadaka Samithiya</t>
  </si>
  <si>
    <t>367A</t>
  </si>
  <si>
    <t>වලාන පරණ ගාලු පාරේ 1 වන හරස් පාරේ ජයදේව සුදසිංහ මහතාගේ නිවසට යන මාර්ගය සංවර්ධනය කිරීම</t>
  </si>
  <si>
    <t xml:space="preserve">Development of 1st cross street (ending at Mr.Jayadewa Sudasinghes' home) at Walana Old Galle Road </t>
  </si>
  <si>
    <t>කදුරුදූව තිලක පාර ධර්මාශ්‍රම විහාරය සංවර්ධනය කිරීම</t>
  </si>
  <si>
    <t>Development of Dharmashrama Vihara , Tilleke road , Kaduruduwa.</t>
  </si>
  <si>
    <t>671/A Gorakana</t>
  </si>
  <si>
    <t>Kaduruduwa Darmasrama Viharastha Karya Sadaka Samithiya</t>
  </si>
  <si>
    <t>පාණදුර වෙළඳපල අසල ඇති පන්සල සංවර් ධනය කිරීම  ( ශ්‍රී ආරියවංභ ධර්මායතනය)</t>
  </si>
  <si>
    <t>Development of the temple near the market  , Panadura.</t>
  </si>
  <si>
    <t>Sudharma Daham Pasal Samithiya</t>
  </si>
  <si>
    <t>පානදුර මෙතොදිස්ත දේවස්ථානයේ ප්‍රතිසංස්කරන කටයුතු සදහා</t>
  </si>
  <si>
    <t>Retoration work of the Methodist church,Panadura.</t>
  </si>
  <si>
    <t>Sri Lanka Methodista Sabawa, Panadura Panthi Mulika Sabhawa</t>
  </si>
  <si>
    <t>2.කෝවිලගොඩැල්ල නාගානන්ද විහාරය ප්‍රතිසංස්කරණය සදහා</t>
  </si>
  <si>
    <t>Reconstruction  of Nagananda Viharaya , Kovilagodella.</t>
  </si>
  <si>
    <t>11.18sqr</t>
  </si>
  <si>
    <t>Sri Nagananda Daham Pasal Sanwardana Samithiya</t>
  </si>
  <si>
    <t>n/m</t>
  </si>
  <si>
    <t xml:space="preserve"> බෞද්ධාශ්‍රමවිහාරය ප්‍රතිසංස්කරණය කිරීම</t>
  </si>
  <si>
    <t>Reconstruction  of  Baudhashrama Viharaya.</t>
  </si>
  <si>
    <t>more than 1000</t>
  </si>
  <si>
    <t>Renovation of the roof of Samudrarama Viharasthanaya</t>
  </si>
  <si>
    <t>699/A Wadduwa South</t>
  </si>
  <si>
    <t>සිරිනිවාසාරාම දහම් පාසැල් ගොඩනැගිල්ල වහලය සැකසීම</t>
  </si>
  <si>
    <t>Renovation of the roof of Dhamma school building at Sirinivasarama.</t>
  </si>
  <si>
    <t>වත්තල්පොල කතෝලික දේවස්ථානයේ ප්‍රතිසංස්කරණ කටයුතු සදහා</t>
  </si>
  <si>
    <t>Restoration work of the Catholic church, Panadura.</t>
  </si>
  <si>
    <t xml:space="preserve">Darma Sabhawa - St. Joshap </t>
  </si>
  <si>
    <t>වත්තල්පොල ජාමියා මස්ජීදයේ සංවර්ධන කටයුතු සදහා</t>
  </si>
  <si>
    <t>Development work of Jamiya Masjith, Wattalpola</t>
  </si>
  <si>
    <t>Hirana Jeyshta Purawesi Sanvidanaya</t>
  </si>
  <si>
    <t>කළුදෑවල ධර්මාරාම උඩමළුව සංවර්ධනය කිරීම ධර්මාශ්‍රම ලෙස ප්‍රතිපාදන අනුමත වී ඇත.</t>
  </si>
  <si>
    <t>Development of upstare of Darrmaramaya at Kaludewala</t>
  </si>
  <si>
    <t>මඩවිල්ගොඩ ශ්‍රී විසුද්ධාරාමයේ ප්‍රතිසංස්කරණ කටයුතු සිදු කිරීම</t>
  </si>
  <si>
    <t>Restoration work of Sri Visudharamaya , Madavilgoda.</t>
  </si>
  <si>
    <t>වාද්දුව මහ විහාරයේ ප්‍රතිසංස්කරණ කටයුතු සදහා</t>
  </si>
  <si>
    <t>Restoration work of Maha Viharaya, Vadduwa</t>
  </si>
  <si>
    <t>වලාන සරණපාල විහාරයේ සංවර්ධන කටයුතු</t>
  </si>
  <si>
    <t>Development work of Saranapala Viharaya, Walana</t>
  </si>
  <si>
    <t>4.සරික්කා මුල්ල සිරි නන්ද  පුරාන විහාරස්ථානයේ සුර්‍ය කෝෂ පද්ධතියක් සවි කිරීම</t>
  </si>
  <si>
    <t>Installation of a Solar Power System in Sirinandana ancient Temple Sarikkalimulla</t>
  </si>
  <si>
    <t>673 Sarikkalimulla</t>
  </si>
  <si>
    <t>3. සරික්කා මුල්ල සාන්ත ආනා දෙවස්තානයටසුර්‍ය කෝෂ පද්ධතියක් සවි කිරීම ව්‍යාපෘතිය ලැබීමට නියමිතයි</t>
  </si>
  <si>
    <t>Installation of a Solar Power System in St. Aana Church Sarikkalimulla</t>
  </si>
  <si>
    <t>ගරු අජිත් පී පෙරේරා මැතිතුමාගේ ව්‍යාපෘති යෝජනා</t>
  </si>
  <si>
    <t>ගරු නන්දන ගුනතිලක මැතිතුමාගේ ව්‍යාපෘති යෝජනා</t>
  </si>
  <si>
    <t>එකතුව</t>
  </si>
  <si>
    <t>Physical &amp; Financial Progress of the Month of May 2019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</si>
</sst>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b/>
      <sz val="11"/>
      <color theme="6" tint="-0.499984740745262"/>
      <name val="Arial"/>
      <family val="2"/>
    </font>
    <font>
      <sz val="11"/>
      <color rgb="FF0000CC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0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34"/>
    </font>
    <font>
      <b/>
      <sz val="11"/>
      <color theme="6" tint="-0.499984740745262"/>
      <name val="Times New Roman"/>
      <family val="34"/>
    </font>
    <font>
      <sz val="11"/>
      <color theme="0"/>
      <name val="Arial"/>
      <family val="2"/>
    </font>
    <font>
      <sz val="11"/>
      <color theme="1"/>
      <name val="Iskoola Pota"/>
      <family val="2"/>
    </font>
    <font>
      <sz val="11"/>
      <color rgb="FFFF0000"/>
      <name val="Iskoola Pota"/>
      <family val="2"/>
    </font>
    <font>
      <sz val="11"/>
      <color rgb="FF0000CC"/>
      <name val="Iskoola Pota"/>
      <family val="2"/>
    </font>
    <font>
      <sz val="11"/>
      <color rgb="FF0000CC"/>
      <name val="Calibri"/>
      <family val="2"/>
      <scheme val="minor"/>
    </font>
    <font>
      <sz val="10"/>
      <color rgb="FF0000CC"/>
      <name val="Calibri"/>
      <family val="2"/>
      <scheme val="minor"/>
    </font>
    <font>
      <b/>
      <sz val="11"/>
      <color theme="6" tint="-0.499984740745262"/>
      <name val="Iskoola Pota"/>
      <family val="2"/>
    </font>
    <font>
      <sz val="11"/>
      <color theme="0"/>
      <name val="Iskoola Pota"/>
      <family val="2"/>
    </font>
    <font>
      <sz val="11"/>
      <name val="Iskoola Pota"/>
      <family val="2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1" fillId="0" borderId="0"/>
  </cellStyleXfs>
  <cellXfs count="313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43" fontId="0" fillId="0" borderId="0" xfId="1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43" fontId="4" fillId="2" borderId="2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17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center" vertical="center" wrapText="1"/>
    </xf>
    <xf numFmtId="43" fontId="13" fillId="0" borderId="7" xfId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/>
    </xf>
    <xf numFmtId="43" fontId="13" fillId="0" borderId="17" xfId="1" applyFont="1" applyFill="1" applyBorder="1" applyAlignment="1">
      <alignment vertical="center" wrapText="1"/>
    </xf>
    <xf numFmtId="9" fontId="13" fillId="0" borderId="17" xfId="0" applyNumberFormat="1" applyFont="1" applyFill="1" applyBorder="1" applyAlignment="1">
      <alignment vertical="center" wrapText="1"/>
    </xf>
    <xf numFmtId="164" fontId="13" fillId="0" borderId="7" xfId="0" applyNumberFormat="1" applyFont="1" applyFill="1" applyBorder="1" applyAlignment="1">
      <alignment horizontal="center" vertical="center" wrapText="1"/>
    </xf>
    <xf numFmtId="164" fontId="14" fillId="0" borderId="20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43" fontId="0" fillId="0" borderId="7" xfId="1" applyFont="1" applyFill="1" applyBorder="1" applyAlignment="1">
      <alignment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/>
    </xf>
    <xf numFmtId="16" fontId="0" fillId="0" borderId="7" xfId="0" applyNumberFormat="1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3" fillId="0" borderId="17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43" fontId="15" fillId="0" borderId="7" xfId="1" applyFont="1" applyFill="1" applyBorder="1" applyAlignment="1">
      <alignment horizontal="center" vertical="center" wrapText="1"/>
    </xf>
    <xf numFmtId="43" fontId="13" fillId="0" borderId="7" xfId="1" applyFont="1" applyFill="1" applyBorder="1" applyAlignment="1">
      <alignment horizontal="right" vertical="center" wrapText="1"/>
    </xf>
    <xf numFmtId="43" fontId="13" fillId="0" borderId="7" xfId="1" applyFont="1" applyFill="1" applyBorder="1" applyAlignment="1">
      <alignment vertical="center" wrapText="1"/>
    </xf>
    <xf numFmtId="164" fontId="13" fillId="0" borderId="7" xfId="0" applyNumberFormat="1" applyFont="1" applyFill="1" applyBorder="1" applyAlignment="1">
      <alignment horizontal="center" vertical="center"/>
    </xf>
    <xf numFmtId="0" fontId="15" fillId="0" borderId="7" xfId="1" applyNumberFormat="1" applyFont="1" applyFill="1" applyBorder="1" applyAlignment="1">
      <alignment horizontal="center" vertical="center" wrapText="1"/>
    </xf>
    <xf numFmtId="164" fontId="15" fillId="0" borderId="7" xfId="1" applyNumberFormat="1" applyFont="1" applyFill="1" applyBorder="1" applyAlignment="1">
      <alignment horizontal="center" vertical="center" wrapText="1"/>
    </xf>
    <xf numFmtId="164" fontId="13" fillId="0" borderId="7" xfId="0" applyNumberFormat="1" applyFont="1" applyFill="1" applyBorder="1" applyAlignment="1">
      <alignment vertical="center"/>
    </xf>
    <xf numFmtId="164" fontId="14" fillId="0" borderId="20" xfId="0" applyNumberFormat="1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1" fontId="13" fillId="0" borderId="7" xfId="0" applyNumberFormat="1" applyFont="1" applyFill="1" applyBorder="1" applyAlignment="1">
      <alignment horizontal="center" vertical="center"/>
    </xf>
    <xf numFmtId="43" fontId="13" fillId="0" borderId="7" xfId="1" applyFont="1" applyFill="1" applyBorder="1" applyAlignment="1">
      <alignment vertical="center"/>
    </xf>
    <xf numFmtId="43" fontId="0" fillId="0" borderId="7" xfId="1" applyFont="1" applyFill="1" applyBorder="1" applyAlignment="1">
      <alignment vertical="center"/>
    </xf>
    <xf numFmtId="43" fontId="10" fillId="0" borderId="7" xfId="1" applyFont="1" applyFill="1" applyBorder="1" applyAlignment="1">
      <alignment horizontal="right" vertical="center" wrapText="1"/>
    </xf>
    <xf numFmtId="43" fontId="11" fillId="0" borderId="7" xfId="1" applyFont="1" applyFill="1" applyBorder="1" applyAlignment="1">
      <alignment vertical="center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164" fontId="11" fillId="0" borderId="7" xfId="0" applyNumberFormat="1" applyFont="1" applyFill="1" applyBorder="1" applyAlignment="1">
      <alignment vertical="center"/>
    </xf>
    <xf numFmtId="164" fontId="12" fillId="0" borderId="20" xfId="0" applyNumberFormat="1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5" fillId="0" borderId="7" xfId="0" applyFont="1" applyFill="1" applyBorder="1" applyAlignment="1">
      <alignment horizontal="center" vertical="center" wrapText="1"/>
    </xf>
    <xf numFmtId="43" fontId="15" fillId="0" borderId="7" xfId="1" applyFont="1" applyFill="1" applyBorder="1" applyAlignment="1">
      <alignment vertical="center" wrapText="1"/>
    </xf>
    <xf numFmtId="0" fontId="15" fillId="0" borderId="21" xfId="0" applyFont="1" applyFill="1" applyBorder="1" applyAlignment="1">
      <alignment horizontal="left" vertical="center" wrapText="1"/>
    </xf>
    <xf numFmtId="43" fontId="0" fillId="0" borderId="7" xfId="0" applyNumberFormat="1" applyFont="1" applyFill="1" applyBorder="1" applyAlignment="1">
      <alignment vertical="center"/>
    </xf>
    <xf numFmtId="0" fontId="0" fillId="0" borderId="7" xfId="0" applyFill="1" applyBorder="1" applyAlignment="1">
      <alignment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43" fontId="17" fillId="0" borderId="7" xfId="1" applyFont="1" applyFill="1" applyBorder="1" applyAlignment="1">
      <alignment horizontal="center" vertical="center" wrapText="1"/>
    </xf>
    <xf numFmtId="43" fontId="17" fillId="0" borderId="7" xfId="1" applyFont="1" applyFill="1" applyBorder="1" applyAlignment="1">
      <alignment vertical="center" wrapText="1"/>
    </xf>
    <xf numFmtId="43" fontId="3" fillId="0" borderId="7" xfId="1" applyFont="1" applyFill="1" applyBorder="1" applyAlignment="1">
      <alignment horizontal="center" vertical="center" wrapText="1"/>
    </xf>
    <xf numFmtId="43" fontId="3" fillId="0" borderId="7" xfId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19" fillId="0" borderId="20" xfId="0" applyNumberFormat="1" applyFont="1" applyFill="1" applyBorder="1" applyAlignment="1">
      <alignment vertical="center" wrapText="1"/>
    </xf>
    <xf numFmtId="0" fontId="23" fillId="0" borderId="7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27" xfId="0" applyFont="1" applyFill="1" applyBorder="1" applyAlignment="1">
      <alignment vertical="center" wrapText="1"/>
    </xf>
    <xf numFmtId="1" fontId="15" fillId="0" borderId="7" xfId="1" applyNumberFormat="1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left" vertical="center" wrapText="1"/>
    </xf>
    <xf numFmtId="4" fontId="13" fillId="0" borderId="7" xfId="0" applyNumberFormat="1" applyFont="1" applyFill="1" applyBorder="1" applyAlignment="1">
      <alignment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1" fontId="30" fillId="0" borderId="7" xfId="0" applyNumberFormat="1" applyFont="1" applyFill="1" applyBorder="1" applyAlignment="1">
      <alignment horizontal="center" vertical="center" wrapText="1"/>
    </xf>
    <xf numFmtId="164" fontId="30" fillId="0" borderId="7" xfId="0" applyNumberFormat="1" applyFont="1" applyFill="1" applyBorder="1" applyAlignment="1">
      <alignment horizontal="center" vertical="center" wrapText="1"/>
    </xf>
    <xf numFmtId="4" fontId="30" fillId="0" borderId="7" xfId="0" applyNumberFormat="1" applyFont="1" applyFill="1" applyBorder="1" applyAlignment="1">
      <alignment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43" fontId="25" fillId="0" borderId="7" xfId="1" applyFont="1" applyFill="1" applyBorder="1" applyAlignment="1">
      <alignment horizontal="center" vertical="center" wrapText="1"/>
    </xf>
    <xf numFmtId="43" fontId="0" fillId="0" borderId="7" xfId="1" applyFont="1" applyFill="1" applyBorder="1" applyAlignment="1">
      <alignment horizontal="center" vertical="center" wrapText="1"/>
    </xf>
    <xf numFmtId="164" fontId="0" fillId="0" borderId="7" xfId="0" applyNumberFormat="1" applyFont="1" applyFill="1" applyBorder="1" applyAlignment="1">
      <alignment horizontal="center" vertical="center"/>
    </xf>
    <xf numFmtId="164" fontId="0" fillId="0" borderId="7" xfId="1" applyNumberFormat="1" applyFont="1" applyFill="1" applyBorder="1" applyAlignment="1">
      <alignment horizontal="center" vertical="center"/>
    </xf>
    <xf numFmtId="164" fontId="0" fillId="0" borderId="7" xfId="0" applyNumberFormat="1" applyFont="1" applyFill="1" applyBorder="1" applyAlignment="1">
      <alignment vertical="center"/>
    </xf>
    <xf numFmtId="164" fontId="9" fillId="0" borderId="20" xfId="0" applyNumberFormat="1" applyFont="1" applyFill="1" applyBorder="1" applyAlignment="1">
      <alignment vertical="center" wrapText="1"/>
    </xf>
    <xf numFmtId="0" fontId="0" fillId="0" borderId="7" xfId="1" applyNumberFormat="1" applyFont="1" applyFill="1" applyBorder="1" applyAlignment="1">
      <alignment horizontal="center" vertical="center"/>
    </xf>
    <xf numFmtId="1" fontId="0" fillId="0" borderId="7" xfId="0" applyNumberFormat="1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horizontal="center" vertical="center" wrapText="1"/>
    </xf>
    <xf numFmtId="164" fontId="13" fillId="0" borderId="12" xfId="0" applyNumberFormat="1" applyFont="1" applyFill="1" applyBorder="1" applyAlignment="1">
      <alignment horizontal="center" vertical="center" wrapText="1"/>
    </xf>
    <xf numFmtId="164" fontId="13" fillId="0" borderId="7" xfId="1" applyNumberFormat="1" applyFont="1" applyFill="1" applyBorder="1" applyAlignment="1">
      <alignment horizontal="center" vertical="center"/>
    </xf>
    <xf numFmtId="1" fontId="0" fillId="0" borderId="7" xfId="1" applyNumberFormat="1" applyFont="1" applyFill="1" applyBorder="1" applyAlignment="1">
      <alignment horizontal="center" vertical="center"/>
    </xf>
    <xf numFmtId="43" fontId="10" fillId="0" borderId="7" xfId="1" applyFont="1" applyFill="1" applyBorder="1" applyAlignment="1">
      <alignment horizontal="center" vertical="center" wrapText="1"/>
    </xf>
    <xf numFmtId="43" fontId="30" fillId="0" borderId="7" xfId="1" applyFont="1" applyFill="1" applyBorder="1" applyAlignment="1">
      <alignment horizontal="center" vertical="center" wrapText="1"/>
    </xf>
    <xf numFmtId="0" fontId="13" fillId="0" borderId="7" xfId="1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vertical="top" wrapText="1"/>
    </xf>
    <xf numFmtId="43" fontId="31" fillId="0" borderId="7" xfId="1" applyFont="1" applyFill="1" applyBorder="1" applyAlignment="1">
      <alignment horizontal="center" vertical="center" wrapText="1"/>
    </xf>
    <xf numFmtId="43" fontId="10" fillId="0" borderId="7" xfId="1" applyFont="1" applyFill="1" applyBorder="1" applyAlignment="1">
      <alignment vertical="center" wrapText="1"/>
    </xf>
    <xf numFmtId="0" fontId="10" fillId="0" borderId="7" xfId="1" applyNumberFormat="1" applyFont="1" applyFill="1" applyBorder="1" applyAlignment="1">
      <alignment horizontal="center" vertical="center" wrapText="1"/>
    </xf>
    <xf numFmtId="164" fontId="10" fillId="0" borderId="7" xfId="1" applyNumberFormat="1" applyFont="1" applyFill="1" applyBorder="1" applyAlignment="1">
      <alignment horizontal="center" vertical="center" wrapText="1"/>
    </xf>
    <xf numFmtId="43" fontId="24" fillId="0" borderId="7" xfId="1" applyFont="1" applyFill="1" applyBorder="1" applyAlignment="1">
      <alignment horizontal="center" vertical="center" wrapText="1"/>
    </xf>
    <xf numFmtId="1" fontId="10" fillId="0" borderId="7" xfId="1" applyNumberFormat="1" applyFont="1" applyFill="1" applyBorder="1" applyAlignment="1">
      <alignment horizontal="center" vertical="center" wrapText="1"/>
    </xf>
    <xf numFmtId="16" fontId="0" fillId="0" borderId="7" xfId="0" applyNumberFormat="1" applyFill="1" applyBorder="1" applyAlignment="1">
      <alignment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43" fontId="18" fillId="0" borderId="7" xfId="1" applyFont="1" applyFill="1" applyBorder="1" applyAlignment="1">
      <alignment horizontal="center" vertical="center" wrapText="1"/>
    </xf>
    <xf numFmtId="43" fontId="18" fillId="0" borderId="7" xfId="1" applyFont="1" applyFill="1" applyBorder="1" applyAlignment="1">
      <alignment vertical="center" wrapText="1"/>
    </xf>
    <xf numFmtId="43" fontId="11" fillId="0" borderId="7" xfId="1" applyFont="1" applyFill="1" applyBorder="1" applyAlignment="1">
      <alignment horizontal="center" vertical="center" wrapText="1"/>
    </xf>
    <xf numFmtId="0" fontId="18" fillId="0" borderId="7" xfId="1" applyNumberFormat="1" applyFont="1" applyFill="1" applyBorder="1" applyAlignment="1">
      <alignment horizontal="center" vertical="center" wrapText="1"/>
    </xf>
    <xf numFmtId="1" fontId="11" fillId="0" borderId="7" xfId="0" applyNumberFormat="1" applyFont="1" applyFill="1" applyBorder="1" applyAlignment="1">
      <alignment horizontal="center" vertical="center"/>
    </xf>
    <xf numFmtId="164" fontId="18" fillId="0" borderId="7" xfId="1" applyNumberFormat="1" applyFont="1" applyFill="1" applyBorder="1" applyAlignment="1">
      <alignment horizontal="center" vertical="center" wrapText="1"/>
    </xf>
    <xf numFmtId="164" fontId="11" fillId="0" borderId="7" xfId="0" applyNumberFormat="1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vertical="center" wrapText="1"/>
    </xf>
    <xf numFmtId="0" fontId="25" fillId="0" borderId="7" xfId="0" applyNumberFormat="1" applyFont="1" applyFill="1" applyBorder="1" applyAlignment="1">
      <alignment horizontal="center" vertical="center" wrapText="1"/>
    </xf>
    <xf numFmtId="164" fontId="25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0" fillId="0" borderId="12" xfId="0" applyNumberForma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wrapText="1"/>
    </xf>
    <xf numFmtId="0" fontId="18" fillId="0" borderId="7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vertical="center" wrapText="1"/>
    </xf>
    <xf numFmtId="164" fontId="5" fillId="3" borderId="35" xfId="1" applyNumberFormat="1" applyFont="1" applyFill="1" applyBorder="1" applyAlignment="1">
      <alignment horizontal="center" vertical="center" wrapText="1"/>
    </xf>
    <xf numFmtId="43" fontId="5" fillId="3" borderId="35" xfId="1" applyFont="1" applyFill="1" applyBorder="1" applyAlignment="1">
      <alignment horizontal="center" vertical="center" wrapText="1"/>
    </xf>
    <xf numFmtId="164" fontId="5" fillId="3" borderId="34" xfId="0" applyNumberFormat="1" applyFont="1" applyFill="1" applyBorder="1" applyAlignment="1">
      <alignment vertical="center"/>
    </xf>
    <xf numFmtId="0" fontId="33" fillId="3" borderId="34" xfId="0" applyFont="1" applyFill="1" applyBorder="1" applyAlignment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36" xfId="0" applyFont="1" applyFill="1" applyBorder="1" applyAlignment="1">
      <alignment vertical="center" wrapText="1"/>
    </xf>
    <xf numFmtId="0" fontId="0" fillId="0" borderId="36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164" fontId="0" fillId="0" borderId="7" xfId="0" applyNumberFormat="1" applyFont="1" applyFill="1" applyBorder="1" applyAlignment="1">
      <alignment horizontal="center"/>
    </xf>
    <xf numFmtId="43" fontId="0" fillId="0" borderId="7" xfId="0" applyNumberFormat="1" applyFont="1" applyFill="1" applyBorder="1" applyAlignment="1">
      <alignment horizontal="center"/>
    </xf>
    <xf numFmtId="43" fontId="9" fillId="0" borderId="7" xfId="0" applyNumberFormat="1" applyFont="1" applyFill="1" applyBorder="1" applyAlignment="1">
      <alignment horizontal="center"/>
    </xf>
    <xf numFmtId="0" fontId="0" fillId="0" borderId="7" xfId="0" applyNumberFormat="1" applyFont="1" applyFill="1" applyBorder="1" applyAlignment="1">
      <alignment vertical="center"/>
    </xf>
    <xf numFmtId="1" fontId="0" fillId="0" borderId="7" xfId="0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wrapText="1"/>
    </xf>
    <xf numFmtId="43" fontId="0" fillId="0" borderId="0" xfId="0" applyNumberFormat="1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1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1" fontId="34" fillId="0" borderId="0" xfId="0" applyNumberFormat="1" applyFont="1" applyFill="1" applyAlignment="1">
      <alignment horizontal="center" vertical="center"/>
    </xf>
    <xf numFmtId="164" fontId="34" fillId="0" borderId="0" xfId="0" applyNumberFormat="1" applyFont="1" applyFill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 wrapText="1"/>
    </xf>
    <xf numFmtId="0" fontId="35" fillId="0" borderId="0" xfId="3" applyFill="1" applyAlignment="1" applyProtection="1">
      <alignment horizontal="left" vertical="center"/>
    </xf>
    <xf numFmtId="164" fontId="9" fillId="0" borderId="0" xfId="0" applyNumberFormat="1" applyFont="1" applyFill="1" applyAlignment="1">
      <alignment horizontal="center" vertical="center" wrapText="1"/>
    </xf>
    <xf numFmtId="43" fontId="0" fillId="0" borderId="0" xfId="1" applyFont="1" applyFill="1" applyAlignment="1">
      <alignment horizontal="center" vertical="center"/>
    </xf>
    <xf numFmtId="164" fontId="9" fillId="0" borderId="0" xfId="0" applyNumberFormat="1" applyFont="1" applyFill="1" applyAlignment="1">
      <alignment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0" fillId="0" borderId="9" xfId="0" applyFont="1" applyFill="1" applyBorder="1" applyAlignment="1">
      <alignment horizontal="center" vertical="center" wrapText="1"/>
    </xf>
    <xf numFmtId="43" fontId="1" fillId="0" borderId="9" xfId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43" fontId="0" fillId="0" borderId="9" xfId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 wrapText="1"/>
    </xf>
    <xf numFmtId="43" fontId="0" fillId="0" borderId="8" xfId="1" applyFont="1" applyFill="1" applyBorder="1" applyAlignment="1">
      <alignment vertical="center" wrapText="1"/>
    </xf>
    <xf numFmtId="9" fontId="0" fillId="0" borderId="8" xfId="0" applyNumberFormat="1" applyFill="1" applyBorder="1" applyAlignment="1">
      <alignment vertical="center" wrapText="1"/>
    </xf>
    <xf numFmtId="164" fontId="0" fillId="0" borderId="12" xfId="0" applyNumberFormat="1" applyFont="1" applyFill="1" applyBorder="1" applyAlignment="1">
      <alignment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164" fontId="0" fillId="0" borderId="9" xfId="0" applyNumberFormat="1" applyFont="1" applyFill="1" applyBorder="1" applyAlignment="1">
      <alignment horizontal="center" vertical="center" wrapText="1"/>
    </xf>
    <xf numFmtId="164" fontId="9" fillId="0" borderId="13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vertical="center" wrapText="1"/>
    </xf>
    <xf numFmtId="0" fontId="0" fillId="0" borderId="16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43" fontId="1" fillId="0" borderId="12" xfId="1" applyFont="1" applyFill="1" applyBorder="1" applyAlignment="1">
      <alignment horizontal="center" vertical="center" wrapText="1"/>
    </xf>
    <xf numFmtId="43" fontId="0" fillId="0" borderId="12" xfId="1" applyFont="1" applyFill="1" applyBorder="1" applyAlignment="1">
      <alignment horizontal="center" vertical="center" wrapText="1"/>
    </xf>
    <xf numFmtId="0" fontId="0" fillId="0" borderId="17" xfId="0" applyFill="1" applyBorder="1" applyAlignment="1">
      <alignment vertical="center" wrapText="1"/>
    </xf>
    <xf numFmtId="43" fontId="0" fillId="0" borderId="16" xfId="1" applyFont="1" applyFill="1" applyBorder="1" applyAlignment="1">
      <alignment vertical="center" wrapText="1"/>
    </xf>
    <xf numFmtId="9" fontId="0" fillId="0" borderId="16" xfId="0" applyNumberFormat="1" applyFill="1" applyBorder="1" applyAlignment="1">
      <alignment vertical="center" wrapText="1"/>
    </xf>
    <xf numFmtId="1" fontId="11" fillId="0" borderId="12" xfId="0" applyNumberFormat="1" applyFont="1" applyFill="1" applyBorder="1" applyAlignment="1">
      <alignment horizontal="center" vertical="center" wrapText="1"/>
    </xf>
    <xf numFmtId="1" fontId="12" fillId="0" borderId="18" xfId="0" applyNumberFormat="1" applyFont="1" applyFill="1" applyBorder="1" applyAlignment="1">
      <alignment horizontal="center" vertical="center" wrapText="1"/>
    </xf>
    <xf numFmtId="164" fontId="0" fillId="0" borderId="12" xfId="0" applyNumberFormat="1" applyFont="1" applyFill="1" applyBorder="1" applyAlignment="1">
      <alignment horizontal="center" vertical="center" wrapText="1"/>
    </xf>
    <xf numFmtId="164" fontId="9" fillId="0" borderId="18" xfId="0" applyNumberFormat="1" applyFont="1" applyFill="1" applyBorder="1" applyAlignment="1">
      <alignment horizontal="center" vertical="center" wrapText="1"/>
    </xf>
    <xf numFmtId="43" fontId="1" fillId="0" borderId="7" xfId="1" applyFont="1" applyFill="1" applyBorder="1" applyAlignment="1">
      <alignment horizontal="center" vertical="center" wrapText="1"/>
    </xf>
    <xf numFmtId="9" fontId="0" fillId="0" borderId="7" xfId="0" applyNumberFormat="1" applyFill="1" applyBorder="1" applyAlignment="1">
      <alignment vertical="center" wrapText="1"/>
    </xf>
    <xf numFmtId="164" fontId="0" fillId="0" borderId="7" xfId="0" applyNumberFormat="1" applyFont="1" applyFill="1" applyBorder="1" applyAlignment="1">
      <alignment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164" fontId="0" fillId="0" borderId="7" xfId="0" applyNumberFormat="1" applyFont="1" applyFill="1" applyBorder="1" applyAlignment="1">
      <alignment horizontal="center" vertical="center" wrapText="1"/>
    </xf>
    <xf numFmtId="164" fontId="9" fillId="0" borderId="7" xfId="0" applyNumberFormat="1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43" fontId="0" fillId="0" borderId="0" xfId="1" applyFont="1" applyFill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12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164" fontId="8" fillId="0" borderId="18" xfId="0" applyNumberFormat="1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16" xfId="0" applyFont="1" applyFill="1" applyBorder="1" applyAlignment="1">
      <alignment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/>
    </xf>
    <xf numFmtId="0" fontId="0" fillId="0" borderId="25" xfId="0" applyFill="1" applyBorder="1" applyAlignment="1">
      <alignment horizontal="left" vertical="center"/>
    </xf>
    <xf numFmtId="0" fontId="0" fillId="0" borderId="25" xfId="0" applyFont="1" applyFill="1" applyBorder="1" applyAlignment="1">
      <alignment horizontal="center" vertical="center" wrapText="1"/>
    </xf>
    <xf numFmtId="43" fontId="10" fillId="0" borderId="25" xfId="1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vertical="center" wrapText="1"/>
    </xf>
    <xf numFmtId="43" fontId="0" fillId="0" borderId="25" xfId="1" applyFont="1" applyFill="1" applyBorder="1" applyAlignment="1">
      <alignment horizontal="center" vertical="center" wrapText="1"/>
    </xf>
    <xf numFmtId="43" fontId="0" fillId="0" borderId="25" xfId="1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/>
    </xf>
    <xf numFmtId="0" fontId="4" fillId="0" borderId="25" xfId="0" applyNumberFormat="1" applyFont="1" applyFill="1" applyBorder="1" applyAlignment="1">
      <alignment horizontal="center" vertical="center" wrapText="1"/>
    </xf>
    <xf numFmtId="0" fontId="4" fillId="0" borderId="25" xfId="0" applyNumberFormat="1" applyFont="1" applyFill="1" applyBorder="1" applyAlignment="1">
      <alignment horizontal="center" vertical="center" textRotation="90" wrapText="1"/>
    </xf>
    <xf numFmtId="0" fontId="0" fillId="0" borderId="25" xfId="0" applyNumberFormat="1" applyFont="1" applyFill="1" applyBorder="1" applyAlignment="1">
      <alignment horizontal="center" vertical="center"/>
    </xf>
    <xf numFmtId="164" fontId="4" fillId="0" borderId="25" xfId="0" applyNumberFormat="1" applyFont="1" applyFill="1" applyBorder="1" applyAlignment="1">
      <alignment horizontal="center" vertical="center" wrapText="1"/>
    </xf>
    <xf numFmtId="0" fontId="0" fillId="0" borderId="25" xfId="0" applyNumberFormat="1" applyFont="1" applyFill="1" applyBorder="1" applyAlignment="1">
      <alignment vertical="center"/>
    </xf>
    <xf numFmtId="164" fontId="9" fillId="0" borderId="26" xfId="0" applyNumberFormat="1" applyFont="1" applyFill="1" applyBorder="1" applyAlignment="1">
      <alignment vertical="center" wrapText="1"/>
    </xf>
    <xf numFmtId="43" fontId="0" fillId="0" borderId="7" xfId="1" applyFont="1" applyFill="1" applyBorder="1" applyAlignment="1">
      <alignment horizontal="right" vertical="center" wrapText="1"/>
    </xf>
    <xf numFmtId="164" fontId="0" fillId="0" borderId="7" xfId="0" applyNumberFormat="1" applyFill="1" applyBorder="1" applyAlignment="1">
      <alignment horizontal="center" vertical="center"/>
    </xf>
    <xf numFmtId="49" fontId="10" fillId="0" borderId="7" xfId="1" applyNumberFormat="1" applyFont="1" applyFill="1" applyBorder="1" applyAlignment="1">
      <alignment horizontal="center" vertical="center" wrapText="1"/>
    </xf>
    <xf numFmtId="43" fontId="16" fillId="0" borderId="7" xfId="1" applyFont="1" applyFill="1" applyBorder="1" applyAlignment="1">
      <alignment horizontal="center" vertical="center" wrapText="1"/>
    </xf>
    <xf numFmtId="164" fontId="0" fillId="0" borderId="7" xfId="0" applyNumberFormat="1" applyFill="1" applyBorder="1" applyAlignment="1">
      <alignment horizontal="center" vertical="center" wrapText="1"/>
    </xf>
    <xf numFmtId="9" fontId="0" fillId="0" borderId="7" xfId="2" applyFont="1" applyFill="1" applyBorder="1" applyAlignment="1">
      <alignment vertical="center"/>
    </xf>
    <xf numFmtId="0" fontId="10" fillId="0" borderId="7" xfId="0" applyFont="1" applyFill="1" applyBorder="1" applyAlignment="1">
      <alignment vertical="center" wrapText="1"/>
    </xf>
    <xf numFmtId="0" fontId="18" fillId="0" borderId="7" xfId="0" applyFont="1" applyFill="1" applyBorder="1" applyAlignment="1">
      <alignment vertical="center" wrapText="1"/>
    </xf>
    <xf numFmtId="43" fontId="11" fillId="0" borderId="7" xfId="1" applyFont="1" applyFill="1" applyBorder="1" applyAlignment="1">
      <alignment vertical="center" wrapText="1"/>
    </xf>
    <xf numFmtId="0" fontId="17" fillId="0" borderId="7" xfId="0" applyFont="1" applyFill="1" applyBorder="1" applyAlignment="1">
      <alignment horizontal="center" vertical="center" wrapText="1"/>
    </xf>
    <xf numFmtId="43" fontId="3" fillId="0" borderId="7" xfId="1" applyFont="1" applyFill="1" applyBorder="1" applyAlignment="1">
      <alignment vertical="center" wrapText="1"/>
    </xf>
    <xf numFmtId="164" fontId="17" fillId="0" borderId="7" xfId="1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wrapText="1"/>
    </xf>
    <xf numFmtId="43" fontId="20" fillId="0" borderId="7" xfId="1" applyFont="1" applyFill="1" applyBorder="1" applyAlignment="1">
      <alignment vertical="center" wrapText="1"/>
    </xf>
    <xf numFmtId="164" fontId="0" fillId="0" borderId="7" xfId="0" applyNumberFormat="1" applyFill="1" applyBorder="1" applyAlignment="1">
      <alignment vertical="center"/>
    </xf>
    <xf numFmtId="164" fontId="0" fillId="0" borderId="7" xfId="0" applyNumberFormat="1" applyFill="1" applyBorder="1" applyAlignment="1">
      <alignment vertical="center" wrapText="1"/>
    </xf>
    <xf numFmtId="49" fontId="17" fillId="0" borderId="7" xfId="1" applyNumberFormat="1" applyFont="1" applyFill="1" applyBorder="1" applyAlignment="1">
      <alignment horizontal="center" vertical="center" wrapText="1"/>
    </xf>
    <xf numFmtId="0" fontId="17" fillId="0" borderId="7" xfId="1" applyNumberFormat="1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wrapText="1"/>
    </xf>
    <xf numFmtId="0" fontId="21" fillId="0" borderId="28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27" xfId="0" applyFont="1" applyFill="1" applyBorder="1" applyAlignment="1">
      <alignment vertical="center" wrapText="1"/>
    </xf>
    <xf numFmtId="1" fontId="18" fillId="0" borderId="7" xfId="1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left" vertical="center" wrapText="1"/>
    </xf>
    <xf numFmtId="4" fontId="0" fillId="0" borderId="7" xfId="0" applyNumberFormat="1" applyFont="1" applyFill="1" applyBorder="1" applyAlignment="1">
      <alignment vertical="center" wrapText="1"/>
    </xf>
    <xf numFmtId="0" fontId="0" fillId="0" borderId="7" xfId="0" applyNumberFormat="1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4" fontId="26" fillId="0" borderId="7" xfId="0" applyNumberFormat="1" applyFont="1" applyFill="1" applyBorder="1" applyAlignment="1">
      <alignment vertical="center" wrapText="1"/>
    </xf>
    <xf numFmtId="0" fontId="26" fillId="0" borderId="7" xfId="0" applyNumberFormat="1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/>
    </xf>
    <xf numFmtId="164" fontId="26" fillId="0" borderId="7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8" fillId="0" borderId="17" xfId="0" applyFont="1" applyFill="1" applyBorder="1" applyAlignment="1">
      <alignment horizontal="left" vertical="center"/>
    </xf>
    <xf numFmtId="0" fontId="28" fillId="0" borderId="7" xfId="0" applyFont="1" applyFill="1" applyBorder="1" applyAlignment="1">
      <alignment horizontal="left" vertical="center"/>
    </xf>
    <xf numFmtId="0" fontId="28" fillId="0" borderId="7" xfId="0" applyFont="1" applyFill="1" applyBorder="1" applyAlignment="1">
      <alignment vertical="center"/>
    </xf>
    <xf numFmtId="4" fontId="28" fillId="0" borderId="7" xfId="0" applyNumberFormat="1" applyFont="1" applyFill="1" applyBorder="1" applyAlignment="1">
      <alignment vertical="center" wrapText="1"/>
    </xf>
    <xf numFmtId="43" fontId="28" fillId="0" borderId="7" xfId="1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vertical="center" wrapText="1"/>
    </xf>
    <xf numFmtId="43" fontId="28" fillId="0" borderId="7" xfId="1" applyFont="1" applyFill="1" applyBorder="1" applyAlignment="1">
      <alignment vertical="center"/>
    </xf>
    <xf numFmtId="0" fontId="16" fillId="0" borderId="7" xfId="1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 wrapText="1"/>
    </xf>
    <xf numFmtId="1" fontId="28" fillId="0" borderId="7" xfId="0" applyNumberFormat="1" applyFont="1" applyFill="1" applyBorder="1" applyAlignment="1">
      <alignment horizontal="center" vertical="center"/>
    </xf>
    <xf numFmtId="0" fontId="27" fillId="0" borderId="7" xfId="0" applyNumberFormat="1" applyFont="1" applyFill="1" applyBorder="1" applyAlignment="1">
      <alignment horizontal="center" vertical="center" wrapText="1"/>
    </xf>
    <xf numFmtId="164" fontId="27" fillId="0" borderId="7" xfId="0" applyNumberFormat="1" applyFont="1" applyFill="1" applyBorder="1" applyAlignment="1">
      <alignment horizontal="center" vertical="center" wrapText="1"/>
    </xf>
    <xf numFmtId="164" fontId="28" fillId="0" borderId="7" xfId="0" applyNumberFormat="1" applyFont="1" applyFill="1" applyBorder="1" applyAlignment="1">
      <alignment vertical="center"/>
    </xf>
    <xf numFmtId="164" fontId="29" fillId="0" borderId="20" xfId="0" applyNumberFormat="1" applyFont="1" applyFill="1" applyBorder="1" applyAlignment="1">
      <alignment vertical="center" wrapText="1"/>
    </xf>
    <xf numFmtId="0" fontId="21" fillId="0" borderId="28" xfId="0" applyFont="1" applyFill="1" applyBorder="1" applyAlignment="1">
      <alignment vertical="top" wrapText="1"/>
    </xf>
    <xf numFmtId="0" fontId="11" fillId="0" borderId="28" xfId="0" applyFont="1" applyFill="1" applyBorder="1" applyAlignment="1">
      <alignment vertical="top" wrapText="1"/>
    </xf>
    <xf numFmtId="0" fontId="32" fillId="0" borderId="15" xfId="0" applyFont="1" applyFill="1" applyBorder="1" applyAlignment="1">
      <alignment horizontal="left" vertical="center" wrapText="1"/>
    </xf>
    <xf numFmtId="4" fontId="32" fillId="0" borderId="7" xfId="0" applyNumberFormat="1" applyFont="1" applyFill="1" applyBorder="1" applyAlignment="1">
      <alignment vertical="center" wrapText="1"/>
    </xf>
    <xf numFmtId="0" fontId="32" fillId="0" borderId="7" xfId="0" applyNumberFormat="1" applyFont="1" applyFill="1" applyBorder="1" applyAlignment="1">
      <alignment horizontal="center" vertical="center" wrapText="1"/>
    </xf>
    <xf numFmtId="1" fontId="25" fillId="0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right" vertical="center" wrapText="1"/>
    </xf>
    <xf numFmtId="0" fontId="21" fillId="0" borderId="0" xfId="0" applyFont="1" applyFill="1" applyAlignment="1">
      <alignment vertical="center" wrapText="1"/>
    </xf>
    <xf numFmtId="0" fontId="22" fillId="0" borderId="0" xfId="0" applyFont="1" applyFill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vertical="top" wrapText="1"/>
    </xf>
    <xf numFmtId="0" fontId="0" fillId="0" borderId="10" xfId="0" applyFill="1" applyBorder="1" applyAlignment="1">
      <alignment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0" fillId="0" borderId="31" xfId="0" applyFill="1" applyBorder="1" applyAlignment="1">
      <alignment horizontal="left" vertical="center"/>
    </xf>
    <xf numFmtId="0" fontId="0" fillId="0" borderId="32" xfId="0" applyFill="1" applyBorder="1" applyAlignment="1">
      <alignment horizontal="left" vertical="center"/>
    </xf>
    <xf numFmtId="0" fontId="25" fillId="0" borderId="32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vertical="center"/>
    </xf>
    <xf numFmtId="43" fontId="10" fillId="0" borderId="32" xfId="1" applyFont="1" applyFill="1" applyBorder="1" applyAlignment="1">
      <alignment horizontal="right" vertical="center" wrapText="1"/>
    </xf>
    <xf numFmtId="0" fontId="0" fillId="0" borderId="32" xfId="0" applyFont="1" applyFill="1" applyBorder="1" applyAlignment="1">
      <alignment vertical="center" wrapText="1"/>
    </xf>
    <xf numFmtId="43" fontId="0" fillId="0" borderId="32" xfId="1" applyFont="1" applyFill="1" applyBorder="1" applyAlignment="1">
      <alignment vertical="center"/>
    </xf>
    <xf numFmtId="0" fontId="10" fillId="0" borderId="32" xfId="1" applyNumberFormat="1" applyFont="1" applyFill="1" applyBorder="1" applyAlignment="1">
      <alignment horizontal="center" vertical="center" wrapText="1"/>
    </xf>
    <xf numFmtId="1" fontId="10" fillId="0" borderId="32" xfId="1" applyNumberFormat="1" applyFont="1" applyFill="1" applyBorder="1" applyAlignment="1">
      <alignment horizontal="center" vertical="center" wrapText="1"/>
    </xf>
    <xf numFmtId="1" fontId="0" fillId="0" borderId="32" xfId="0" applyNumberFormat="1" applyFill="1" applyBorder="1" applyAlignment="1">
      <alignment horizontal="center" vertical="center"/>
    </xf>
    <xf numFmtId="164" fontId="0" fillId="0" borderId="32" xfId="0" applyNumberFormat="1" applyFont="1" applyFill="1" applyBorder="1" applyAlignment="1">
      <alignment vertical="center"/>
    </xf>
    <xf numFmtId="164" fontId="10" fillId="0" borderId="32" xfId="1" applyNumberFormat="1" applyFont="1" applyFill="1" applyBorder="1" applyAlignment="1">
      <alignment horizontal="center" vertical="center" wrapText="1"/>
    </xf>
    <xf numFmtId="164" fontId="9" fillId="0" borderId="33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</cellXfs>
  <cellStyles count="6">
    <cellStyle name="Comma" xfId="1" builtinId="3"/>
    <cellStyle name="Hyperlink" xfId="3" builtinId="8"/>
    <cellStyle name="Normal" xfId="0" builtinId="0"/>
    <cellStyle name="Normal 2" xfId="4"/>
    <cellStyle name="Normal 2 3" xfId="5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13"/>
  <sheetViews>
    <sheetView tabSelected="1" zoomScale="80" zoomScaleNormal="80" workbookViewId="0">
      <pane xSplit="2" ySplit="3" topLeftCell="C203" activePane="bottomRight" state="frozen"/>
      <selection pane="topRight" activeCell="C1" sqref="C1"/>
      <selection pane="bottomLeft" activeCell="A4" sqref="A4"/>
      <selection pane="bottomRight" activeCell="C4" sqref="C4:C385"/>
    </sheetView>
  </sheetViews>
  <sheetFormatPr defaultRowHeight="15"/>
  <cols>
    <col min="1" max="1" width="7.7109375" style="1" customWidth="1"/>
    <col min="2" max="2" width="39.140625" style="145" hidden="1" customWidth="1"/>
    <col min="3" max="3" width="39.140625" style="145" customWidth="1"/>
    <col min="4" max="4" width="14.85546875" style="145" customWidth="1"/>
    <col min="5" max="5" width="13.7109375" style="145" customWidth="1"/>
    <col min="6" max="6" width="15.5703125" style="14" customWidth="1"/>
    <col min="7" max="7" width="8.7109375" style="169" customWidth="1"/>
    <col min="8" max="8" width="11.7109375" style="2" customWidth="1"/>
    <col min="9" max="9" width="18.42578125" style="2" customWidth="1"/>
    <col min="10" max="10" width="15.7109375" style="2" hidden="1" customWidth="1"/>
    <col min="11" max="11" width="20.42578125" style="2" customWidth="1"/>
    <col min="12" max="12" width="15.140625" style="3" customWidth="1"/>
    <col min="13" max="13" width="12" style="2" customWidth="1"/>
    <col min="14" max="14" width="5.5703125" style="159" customWidth="1"/>
    <col min="15" max="15" width="5.28515625" style="158" customWidth="1"/>
    <col min="16" max="16" width="6.140625" style="158" customWidth="1"/>
    <col min="17" max="17" width="5.28515625" style="158" customWidth="1"/>
    <col min="18" max="18" width="5" style="159" customWidth="1"/>
    <col min="19" max="22" width="6" style="160" customWidth="1"/>
    <col min="23" max="23" width="6.140625" style="160" customWidth="1"/>
    <col min="24" max="24" width="9.85546875" style="161" customWidth="1"/>
    <col min="25" max="25" width="24" style="170" customWidth="1"/>
    <col min="26" max="26" width="21.140625" style="2" customWidth="1"/>
    <col min="27" max="16384" width="9.140625" style="2"/>
  </cols>
  <sheetData>
    <row r="1" spans="1:25" ht="13.5" customHeight="1">
      <c r="A1" s="312" t="s">
        <v>0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</row>
    <row r="2" spans="1:25" ht="13.5" customHeight="1" thickBot="1">
      <c r="A2" s="312" t="s">
        <v>1055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</row>
    <row r="3" spans="1:25" s="14" customFormat="1" ht="112.5" customHeight="1" thickBot="1">
      <c r="A3" s="4" t="s">
        <v>1</v>
      </c>
      <c r="B3" s="5" t="s">
        <v>2</v>
      </c>
      <c r="C3" s="8" t="s">
        <v>2</v>
      </c>
      <c r="D3" s="5" t="s">
        <v>3</v>
      </c>
      <c r="E3" s="6" t="s">
        <v>4</v>
      </c>
      <c r="F3" s="6" t="s">
        <v>5</v>
      </c>
      <c r="G3" s="7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6" t="s">
        <v>11</v>
      </c>
      <c r="M3" s="8" t="s">
        <v>12</v>
      </c>
      <c r="N3" s="9" t="s">
        <v>13</v>
      </c>
      <c r="O3" s="10" t="s">
        <v>14</v>
      </c>
      <c r="P3" s="10" t="s">
        <v>15</v>
      </c>
      <c r="Q3" s="10" t="s">
        <v>16</v>
      </c>
      <c r="R3" s="9" t="s">
        <v>17</v>
      </c>
      <c r="S3" s="11" t="s">
        <v>18</v>
      </c>
      <c r="T3" s="12" t="s">
        <v>19</v>
      </c>
      <c r="U3" s="12" t="s">
        <v>20</v>
      </c>
      <c r="V3" s="12" t="s">
        <v>21</v>
      </c>
      <c r="W3" s="12" t="s">
        <v>22</v>
      </c>
      <c r="X3" s="12" t="s">
        <v>23</v>
      </c>
      <c r="Y3" s="13" t="s">
        <v>24</v>
      </c>
    </row>
    <row r="4" spans="1:25" s="14" customFormat="1" ht="43.5" customHeight="1">
      <c r="A4" s="171">
        <v>1</v>
      </c>
      <c r="B4" s="172" t="s">
        <v>25</v>
      </c>
      <c r="C4" s="15" t="s">
        <v>26</v>
      </c>
      <c r="D4" s="173" t="s">
        <v>27</v>
      </c>
      <c r="E4" s="174" t="s">
        <v>28</v>
      </c>
      <c r="F4" s="175" t="s">
        <v>29</v>
      </c>
      <c r="G4" s="176" t="s">
        <v>30</v>
      </c>
      <c r="H4" s="177">
        <f>0.3048*143</f>
        <v>43.586400000000005</v>
      </c>
      <c r="I4" s="178">
        <v>500000</v>
      </c>
      <c r="J4" s="178" t="s">
        <v>31</v>
      </c>
      <c r="K4" s="179" t="s">
        <v>32</v>
      </c>
      <c r="L4" s="180">
        <v>0</v>
      </c>
      <c r="M4" s="181">
        <v>0</v>
      </c>
      <c r="N4" s="182">
        <v>0</v>
      </c>
      <c r="O4" s="182"/>
      <c r="P4" s="182">
        <v>0</v>
      </c>
      <c r="Q4" s="182">
        <v>0</v>
      </c>
      <c r="R4" s="182"/>
      <c r="S4" s="182">
        <v>0</v>
      </c>
      <c r="T4" s="182">
        <v>0</v>
      </c>
      <c r="U4" s="182">
        <v>0</v>
      </c>
      <c r="V4" s="182">
        <v>0</v>
      </c>
      <c r="W4" s="183">
        <v>1</v>
      </c>
      <c r="X4" s="184"/>
      <c r="Y4" s="185"/>
    </row>
    <row r="5" spans="1:25" s="14" customFormat="1" ht="45" customHeight="1">
      <c r="A5" s="186">
        <v>2</v>
      </c>
      <c r="B5" s="187" t="s">
        <v>33</v>
      </c>
      <c r="C5" s="15" t="s">
        <v>34</v>
      </c>
      <c r="D5" s="188" t="s">
        <v>27</v>
      </c>
      <c r="E5" s="189" t="s">
        <v>28</v>
      </c>
      <c r="F5" s="32" t="s">
        <v>29</v>
      </c>
      <c r="G5" s="190" t="s">
        <v>30</v>
      </c>
      <c r="H5" s="15">
        <f>0.3048*192</f>
        <v>58.521600000000007</v>
      </c>
      <c r="I5" s="191">
        <v>500000</v>
      </c>
      <c r="J5" s="191" t="s">
        <v>31</v>
      </c>
      <c r="K5" s="192" t="s">
        <v>32</v>
      </c>
      <c r="L5" s="193">
        <v>0</v>
      </c>
      <c r="M5" s="194">
        <v>0</v>
      </c>
      <c r="N5" s="182">
        <v>0</v>
      </c>
      <c r="O5" s="182"/>
      <c r="P5" s="182">
        <v>0</v>
      </c>
      <c r="Q5" s="182">
        <v>0</v>
      </c>
      <c r="R5" s="182"/>
      <c r="S5" s="182">
        <v>0</v>
      </c>
      <c r="T5" s="182">
        <v>0</v>
      </c>
      <c r="U5" s="182">
        <v>0</v>
      </c>
      <c r="V5" s="182">
        <v>0</v>
      </c>
      <c r="W5" s="183">
        <v>1</v>
      </c>
      <c r="X5" s="195"/>
      <c r="Y5" s="196"/>
    </row>
    <row r="6" spans="1:25" s="14" customFormat="1" ht="57" customHeight="1">
      <c r="A6" s="186">
        <v>3</v>
      </c>
      <c r="B6" s="187" t="s">
        <v>35</v>
      </c>
      <c r="C6" s="15" t="s">
        <v>36</v>
      </c>
      <c r="D6" s="188" t="s">
        <v>27</v>
      </c>
      <c r="E6" s="189" t="s">
        <v>28</v>
      </c>
      <c r="F6" s="32" t="s">
        <v>29</v>
      </c>
      <c r="G6" s="190" t="s">
        <v>30</v>
      </c>
      <c r="H6" s="15">
        <f>0.3048*124</f>
        <v>37.795200000000001</v>
      </c>
      <c r="I6" s="191">
        <v>500000</v>
      </c>
      <c r="J6" s="191" t="s">
        <v>31</v>
      </c>
      <c r="K6" s="192" t="s">
        <v>32</v>
      </c>
      <c r="L6" s="193">
        <v>0</v>
      </c>
      <c r="M6" s="194">
        <v>0</v>
      </c>
      <c r="N6" s="182">
        <v>0</v>
      </c>
      <c r="O6" s="182"/>
      <c r="P6" s="182">
        <v>0</v>
      </c>
      <c r="Q6" s="182">
        <v>0</v>
      </c>
      <c r="R6" s="182">
        <v>0</v>
      </c>
      <c r="S6" s="182">
        <v>0</v>
      </c>
      <c r="T6" s="182">
        <v>0</v>
      </c>
      <c r="U6" s="182">
        <v>0</v>
      </c>
      <c r="V6" s="182">
        <v>0</v>
      </c>
      <c r="W6" s="183">
        <v>1</v>
      </c>
      <c r="X6" s="197"/>
      <c r="Y6" s="198"/>
    </row>
    <row r="7" spans="1:25" s="14" customFormat="1" ht="59.25" customHeight="1">
      <c r="A7" s="186">
        <v>4</v>
      </c>
      <c r="B7" s="35" t="s">
        <v>37</v>
      </c>
      <c r="C7" s="15" t="s">
        <v>38</v>
      </c>
      <c r="D7" s="188" t="s">
        <v>27</v>
      </c>
      <c r="E7" s="189" t="s">
        <v>28</v>
      </c>
      <c r="F7" s="30" t="s">
        <v>39</v>
      </c>
      <c r="G7" s="190" t="s">
        <v>30</v>
      </c>
      <c r="H7" s="33">
        <f>0.3048*219</f>
        <v>66.751199999999997</v>
      </c>
      <c r="I7" s="191">
        <v>700000</v>
      </c>
      <c r="J7" s="191" t="s">
        <v>31</v>
      </c>
      <c r="K7" s="192" t="s">
        <v>40</v>
      </c>
      <c r="L7" s="193">
        <v>679000</v>
      </c>
      <c r="M7" s="194">
        <v>0</v>
      </c>
      <c r="N7" s="182">
        <v>0</v>
      </c>
      <c r="O7" s="182">
        <v>0</v>
      </c>
      <c r="P7" s="182">
        <v>0</v>
      </c>
      <c r="Q7" s="182">
        <v>0</v>
      </c>
      <c r="R7" s="182">
        <v>0</v>
      </c>
      <c r="S7" s="182">
        <v>0</v>
      </c>
      <c r="T7" s="182">
        <v>0</v>
      </c>
      <c r="U7" s="182">
        <v>0</v>
      </c>
      <c r="V7" s="182">
        <v>0</v>
      </c>
      <c r="W7" s="183">
        <v>1</v>
      </c>
      <c r="X7" s="197"/>
      <c r="Y7" s="198"/>
    </row>
    <row r="8" spans="1:25" s="14" customFormat="1" ht="43.5" customHeight="1">
      <c r="A8" s="186">
        <v>5</v>
      </c>
      <c r="B8" s="187" t="s">
        <v>41</v>
      </c>
      <c r="C8" s="15" t="s">
        <v>42</v>
      </c>
      <c r="D8" s="188" t="s">
        <v>27</v>
      </c>
      <c r="E8" s="189" t="s">
        <v>28</v>
      </c>
      <c r="F8" s="30" t="s">
        <v>39</v>
      </c>
      <c r="G8" s="190" t="s">
        <v>30</v>
      </c>
      <c r="H8" s="33">
        <f>0.3048*144</f>
        <v>43.891200000000005</v>
      </c>
      <c r="I8" s="191">
        <v>400000</v>
      </c>
      <c r="J8" s="191" t="s">
        <v>31</v>
      </c>
      <c r="K8" s="192" t="s">
        <v>40</v>
      </c>
      <c r="L8" s="193">
        <v>384660.97</v>
      </c>
      <c r="M8" s="194">
        <f>L8/(I8-I8*3%)</f>
        <v>0.9913942525773195</v>
      </c>
      <c r="N8" s="182">
        <v>0</v>
      </c>
      <c r="O8" s="182">
        <v>0</v>
      </c>
      <c r="P8" s="182">
        <v>0</v>
      </c>
      <c r="Q8" s="182">
        <v>0</v>
      </c>
      <c r="R8" s="182">
        <v>0</v>
      </c>
      <c r="S8" s="182">
        <v>0</v>
      </c>
      <c r="T8" s="182">
        <v>0</v>
      </c>
      <c r="U8" s="182">
        <v>0</v>
      </c>
      <c r="V8" s="182">
        <v>0</v>
      </c>
      <c r="W8" s="183">
        <v>1</v>
      </c>
      <c r="X8" s="197"/>
      <c r="Y8" s="198"/>
    </row>
    <row r="9" spans="1:25" s="14" customFormat="1" ht="45.75" customHeight="1">
      <c r="A9" s="186">
        <v>6</v>
      </c>
      <c r="B9" s="35" t="s">
        <v>43</v>
      </c>
      <c r="C9" s="15" t="s">
        <v>44</v>
      </c>
      <c r="D9" s="188" t="s">
        <v>27</v>
      </c>
      <c r="E9" s="189" t="s">
        <v>28</v>
      </c>
      <c r="F9" s="30" t="s">
        <v>39</v>
      </c>
      <c r="G9" s="190" t="s">
        <v>30</v>
      </c>
      <c r="H9" s="33">
        <f>0.3048*87</f>
        <v>26.517600000000002</v>
      </c>
      <c r="I9" s="191">
        <v>250000</v>
      </c>
      <c r="J9" s="191" t="s">
        <v>31</v>
      </c>
      <c r="K9" s="192" t="s">
        <v>40</v>
      </c>
      <c r="L9" s="193">
        <v>242500</v>
      </c>
      <c r="M9" s="194">
        <f t="shared" ref="M9:M12" si="0">L9/(I9-I9*3%)</f>
        <v>1</v>
      </c>
      <c r="N9" s="182">
        <v>0</v>
      </c>
      <c r="O9" s="182">
        <v>0</v>
      </c>
      <c r="P9" s="182">
        <v>0</v>
      </c>
      <c r="Q9" s="182">
        <v>0</v>
      </c>
      <c r="R9" s="182">
        <v>0</v>
      </c>
      <c r="S9" s="182">
        <v>0</v>
      </c>
      <c r="T9" s="182">
        <v>0</v>
      </c>
      <c r="U9" s="182">
        <v>0</v>
      </c>
      <c r="V9" s="182">
        <v>0</v>
      </c>
      <c r="W9" s="183">
        <v>1</v>
      </c>
      <c r="X9" s="197"/>
      <c r="Y9" s="198"/>
    </row>
    <row r="10" spans="1:25" s="14" customFormat="1" ht="44.25" customHeight="1">
      <c r="A10" s="186">
        <v>7</v>
      </c>
      <c r="B10" s="35" t="s">
        <v>45</v>
      </c>
      <c r="C10" s="57" t="s">
        <v>46</v>
      </c>
      <c r="D10" s="188" t="s">
        <v>27</v>
      </c>
      <c r="E10" s="189" t="s">
        <v>28</v>
      </c>
      <c r="F10" s="30" t="s">
        <v>39</v>
      </c>
      <c r="G10" s="190" t="s">
        <v>30</v>
      </c>
      <c r="H10" s="33">
        <f>0.3048*130</f>
        <v>39.624000000000002</v>
      </c>
      <c r="I10" s="191">
        <v>370000</v>
      </c>
      <c r="J10" s="191" t="s">
        <v>31</v>
      </c>
      <c r="K10" s="192" t="s">
        <v>40</v>
      </c>
      <c r="L10" s="193">
        <v>358900</v>
      </c>
      <c r="M10" s="194">
        <f t="shared" si="0"/>
        <v>1</v>
      </c>
      <c r="N10" s="182">
        <v>0</v>
      </c>
      <c r="O10" s="182">
        <v>0</v>
      </c>
      <c r="P10" s="182">
        <v>0</v>
      </c>
      <c r="Q10" s="182">
        <v>0</v>
      </c>
      <c r="R10" s="182">
        <v>0</v>
      </c>
      <c r="S10" s="182">
        <v>0</v>
      </c>
      <c r="T10" s="182">
        <v>0</v>
      </c>
      <c r="U10" s="182">
        <v>0</v>
      </c>
      <c r="V10" s="182">
        <v>0</v>
      </c>
      <c r="W10" s="183">
        <v>1</v>
      </c>
      <c r="X10" s="197"/>
      <c r="Y10" s="198"/>
    </row>
    <row r="11" spans="1:25" s="14" customFormat="1" ht="48.75" customHeight="1">
      <c r="A11" s="186">
        <v>8</v>
      </c>
      <c r="B11" s="35" t="s">
        <v>47</v>
      </c>
      <c r="C11" s="15" t="s">
        <v>48</v>
      </c>
      <c r="D11" s="188" t="s">
        <v>27</v>
      </c>
      <c r="E11" s="189" t="s">
        <v>28</v>
      </c>
      <c r="F11" s="30" t="s">
        <v>49</v>
      </c>
      <c r="G11" s="190" t="s">
        <v>30</v>
      </c>
      <c r="H11" s="33">
        <f>0.3048*178</f>
        <v>54.254400000000004</v>
      </c>
      <c r="I11" s="191">
        <v>700000</v>
      </c>
      <c r="J11" s="191" t="s">
        <v>31</v>
      </c>
      <c r="K11" s="192" t="s">
        <v>32</v>
      </c>
      <c r="L11" s="193">
        <v>679000</v>
      </c>
      <c r="M11" s="194">
        <f t="shared" si="0"/>
        <v>1</v>
      </c>
      <c r="N11" s="182">
        <v>0</v>
      </c>
      <c r="O11" s="182">
        <v>0</v>
      </c>
      <c r="P11" s="182">
        <v>0</v>
      </c>
      <c r="Q11" s="182">
        <v>0</v>
      </c>
      <c r="R11" s="182">
        <v>0</v>
      </c>
      <c r="S11" s="182">
        <v>0</v>
      </c>
      <c r="T11" s="182">
        <v>0</v>
      </c>
      <c r="U11" s="182">
        <v>0</v>
      </c>
      <c r="V11" s="182">
        <v>0</v>
      </c>
      <c r="W11" s="183">
        <v>1</v>
      </c>
      <c r="X11" s="197"/>
      <c r="Y11" s="198"/>
    </row>
    <row r="12" spans="1:25" s="14" customFormat="1" ht="30.75" customHeight="1">
      <c r="A12" s="186">
        <v>9</v>
      </c>
      <c r="B12" s="35" t="s">
        <v>50</v>
      </c>
      <c r="C12" s="15" t="s">
        <v>51</v>
      </c>
      <c r="D12" s="188" t="s">
        <v>27</v>
      </c>
      <c r="E12" s="189" t="s">
        <v>28</v>
      </c>
      <c r="F12" s="30" t="s">
        <v>49</v>
      </c>
      <c r="G12" s="190" t="s">
        <v>30</v>
      </c>
      <c r="H12" s="33">
        <f>0.3048*141</f>
        <v>42.976800000000004</v>
      </c>
      <c r="I12" s="191">
        <v>400000</v>
      </c>
      <c r="J12" s="191" t="s">
        <v>31</v>
      </c>
      <c r="K12" s="192" t="s">
        <v>32</v>
      </c>
      <c r="L12" s="193">
        <v>388000</v>
      </c>
      <c r="M12" s="194">
        <f t="shared" si="0"/>
        <v>1</v>
      </c>
      <c r="N12" s="182">
        <v>0</v>
      </c>
      <c r="O12" s="182">
        <v>0</v>
      </c>
      <c r="P12" s="182">
        <v>0</v>
      </c>
      <c r="Q12" s="182">
        <v>0</v>
      </c>
      <c r="R12" s="182">
        <v>0</v>
      </c>
      <c r="S12" s="182">
        <v>0</v>
      </c>
      <c r="T12" s="182">
        <v>0</v>
      </c>
      <c r="U12" s="182">
        <v>0</v>
      </c>
      <c r="V12" s="182">
        <v>0</v>
      </c>
      <c r="W12" s="183">
        <v>1</v>
      </c>
      <c r="X12" s="197"/>
      <c r="Y12" s="198"/>
    </row>
    <row r="13" spans="1:25" s="27" customFormat="1" ht="30.75" customHeight="1">
      <c r="A13" s="16" t="s">
        <v>52</v>
      </c>
      <c r="B13" s="17" t="s">
        <v>53</v>
      </c>
      <c r="C13" s="18" t="s">
        <v>54</v>
      </c>
      <c r="D13" s="19" t="s">
        <v>27</v>
      </c>
      <c r="E13" s="18" t="s">
        <v>28</v>
      </c>
      <c r="F13" s="20" t="s">
        <v>49</v>
      </c>
      <c r="G13" s="21" t="s">
        <v>30</v>
      </c>
      <c r="H13" s="22">
        <f>0.3048*70</f>
        <v>21.336000000000002</v>
      </c>
      <c r="I13" s="21">
        <v>400000</v>
      </c>
      <c r="J13" s="21" t="s">
        <v>31</v>
      </c>
      <c r="K13" s="19"/>
      <c r="L13" s="23">
        <v>388000</v>
      </c>
      <c r="M13" s="24">
        <v>0</v>
      </c>
      <c r="N13" s="182">
        <v>0</v>
      </c>
      <c r="O13" s="182"/>
      <c r="P13" s="182">
        <v>0</v>
      </c>
      <c r="Q13" s="182">
        <v>0</v>
      </c>
      <c r="R13" s="182"/>
      <c r="S13" s="182"/>
      <c r="T13" s="182">
        <v>0</v>
      </c>
      <c r="U13" s="182">
        <v>0</v>
      </c>
      <c r="V13" s="182">
        <v>0</v>
      </c>
      <c r="W13" s="183">
        <v>1</v>
      </c>
      <c r="X13" s="25"/>
      <c r="Y13" s="26"/>
    </row>
    <row r="14" spans="1:25" s="14" customFormat="1" ht="48" customHeight="1">
      <c r="A14" s="186">
        <v>11</v>
      </c>
      <c r="B14" s="35" t="s">
        <v>55</v>
      </c>
      <c r="C14" s="15" t="s">
        <v>56</v>
      </c>
      <c r="D14" s="188" t="s">
        <v>27</v>
      </c>
      <c r="E14" s="189" t="s">
        <v>28</v>
      </c>
      <c r="F14" s="30" t="s">
        <v>57</v>
      </c>
      <c r="G14" s="190" t="s">
        <v>30</v>
      </c>
      <c r="H14" s="33">
        <f>0.3048*208</f>
        <v>63.398400000000002</v>
      </c>
      <c r="I14" s="191">
        <v>500000</v>
      </c>
      <c r="J14" s="191" t="s">
        <v>31</v>
      </c>
      <c r="K14" s="192" t="s">
        <v>32</v>
      </c>
      <c r="L14" s="193">
        <v>485000</v>
      </c>
      <c r="M14" s="194">
        <f t="shared" ref="M14:M15" si="1">L14/(I14-I14*3%)</f>
        <v>1</v>
      </c>
      <c r="N14" s="182">
        <v>0</v>
      </c>
      <c r="O14" s="182">
        <v>0</v>
      </c>
      <c r="P14" s="182">
        <v>0</v>
      </c>
      <c r="Q14" s="182">
        <v>0</v>
      </c>
      <c r="R14" s="182">
        <v>0</v>
      </c>
      <c r="S14" s="182">
        <v>0</v>
      </c>
      <c r="T14" s="182">
        <v>0</v>
      </c>
      <c r="U14" s="182">
        <v>0</v>
      </c>
      <c r="V14" s="182">
        <v>0</v>
      </c>
      <c r="W14" s="183">
        <v>1</v>
      </c>
      <c r="X14" s="197"/>
      <c r="Y14" s="198"/>
    </row>
    <row r="15" spans="1:25" s="14" customFormat="1" ht="44.25" customHeight="1">
      <c r="A15" s="186">
        <v>12</v>
      </c>
      <c r="B15" s="35" t="s">
        <v>58</v>
      </c>
      <c r="C15" s="15" t="s">
        <v>59</v>
      </c>
      <c r="D15" s="188" t="s">
        <v>27</v>
      </c>
      <c r="E15" s="189" t="s">
        <v>28</v>
      </c>
      <c r="F15" s="30" t="s">
        <v>57</v>
      </c>
      <c r="G15" s="190" t="s">
        <v>30</v>
      </c>
      <c r="H15" s="33">
        <f>0.3048*158</f>
        <v>48.1584</v>
      </c>
      <c r="I15" s="191">
        <v>500000</v>
      </c>
      <c r="J15" s="191" t="s">
        <v>31</v>
      </c>
      <c r="K15" s="192" t="s">
        <v>32</v>
      </c>
      <c r="L15" s="193">
        <v>485000</v>
      </c>
      <c r="M15" s="194">
        <f t="shared" si="1"/>
        <v>1</v>
      </c>
      <c r="N15" s="182">
        <v>0</v>
      </c>
      <c r="O15" s="182">
        <v>0</v>
      </c>
      <c r="P15" s="182">
        <v>0</v>
      </c>
      <c r="Q15" s="182">
        <v>0</v>
      </c>
      <c r="R15" s="182">
        <v>0</v>
      </c>
      <c r="S15" s="182">
        <v>0</v>
      </c>
      <c r="T15" s="182">
        <v>0</v>
      </c>
      <c r="U15" s="182">
        <v>0</v>
      </c>
      <c r="V15" s="182">
        <v>0</v>
      </c>
      <c r="W15" s="183">
        <v>1</v>
      </c>
      <c r="X15" s="197"/>
      <c r="Y15" s="198"/>
    </row>
    <row r="16" spans="1:25" s="27" customFormat="1" ht="50.25" customHeight="1">
      <c r="A16" s="16" t="s">
        <v>60</v>
      </c>
      <c r="B16" s="17" t="s">
        <v>61</v>
      </c>
      <c r="C16" s="18" t="s">
        <v>62</v>
      </c>
      <c r="D16" s="19" t="s">
        <v>27</v>
      </c>
      <c r="E16" s="18" t="s">
        <v>28</v>
      </c>
      <c r="F16" s="20" t="s">
        <v>63</v>
      </c>
      <c r="G16" s="21" t="s">
        <v>30</v>
      </c>
      <c r="H16" s="18"/>
      <c r="I16" s="21">
        <v>500000</v>
      </c>
      <c r="J16" s="21" t="s">
        <v>31</v>
      </c>
      <c r="K16" s="19"/>
      <c r="L16" s="23">
        <v>0</v>
      </c>
      <c r="M16" s="24">
        <v>0</v>
      </c>
      <c r="N16" s="28">
        <v>1</v>
      </c>
      <c r="O16" s="29"/>
      <c r="P16" s="29"/>
      <c r="Q16" s="29"/>
      <c r="R16" s="29"/>
      <c r="S16" s="25"/>
      <c r="T16" s="25"/>
      <c r="U16" s="25"/>
      <c r="V16" s="25"/>
      <c r="W16" s="25"/>
      <c r="X16" s="25"/>
      <c r="Y16" s="26"/>
    </row>
    <row r="17" spans="1:26" s="14" customFormat="1" ht="30.75" customHeight="1">
      <c r="A17" s="186">
        <v>14</v>
      </c>
      <c r="B17" s="35" t="s">
        <v>64</v>
      </c>
      <c r="C17" s="15" t="s">
        <v>65</v>
      </c>
      <c r="D17" s="188" t="s">
        <v>27</v>
      </c>
      <c r="E17" s="189" t="s">
        <v>28</v>
      </c>
      <c r="F17" s="30" t="s">
        <v>63</v>
      </c>
      <c r="G17" s="190" t="s">
        <v>30</v>
      </c>
      <c r="H17" s="68">
        <f>0.3048*(108+100)</f>
        <v>63.398400000000002</v>
      </c>
      <c r="I17" s="191">
        <v>700000</v>
      </c>
      <c r="J17" s="191" t="s">
        <v>31</v>
      </c>
      <c r="K17" s="192" t="s">
        <v>66</v>
      </c>
      <c r="L17" s="193">
        <v>0</v>
      </c>
      <c r="M17" s="194">
        <v>0</v>
      </c>
      <c r="N17" s="182">
        <v>0</v>
      </c>
      <c r="O17" s="182">
        <v>0</v>
      </c>
      <c r="P17" s="182">
        <v>0</v>
      </c>
      <c r="Q17" s="182">
        <v>0</v>
      </c>
      <c r="R17" s="182">
        <v>0</v>
      </c>
      <c r="S17" s="182">
        <v>0</v>
      </c>
      <c r="T17" s="182">
        <v>0</v>
      </c>
      <c r="U17" s="182">
        <v>0</v>
      </c>
      <c r="V17" s="182">
        <v>0</v>
      </c>
      <c r="W17" s="183">
        <v>1</v>
      </c>
      <c r="X17" s="197"/>
      <c r="Y17" s="198"/>
    </row>
    <row r="18" spans="1:26" s="14" customFormat="1" ht="43.5" customHeight="1">
      <c r="A18" s="30">
        <v>15</v>
      </c>
      <c r="B18" s="68" t="s">
        <v>67</v>
      </c>
      <c r="C18" s="15" t="s">
        <v>68</v>
      </c>
      <c r="D18" s="68" t="s">
        <v>27</v>
      </c>
      <c r="E18" s="68" t="s">
        <v>28</v>
      </c>
      <c r="F18" s="30" t="s">
        <v>63</v>
      </c>
      <c r="G18" s="199" t="s">
        <v>30</v>
      </c>
      <c r="H18" s="15"/>
      <c r="I18" s="96">
        <v>200000</v>
      </c>
      <c r="J18" s="96" t="s">
        <v>31</v>
      </c>
      <c r="K18" s="15"/>
      <c r="L18" s="31">
        <v>0</v>
      </c>
      <c r="M18" s="200">
        <v>0</v>
      </c>
      <c r="N18" s="201">
        <v>0</v>
      </c>
      <c r="O18" s="201"/>
      <c r="P18" s="201">
        <v>0</v>
      </c>
      <c r="Q18" s="201">
        <v>0</v>
      </c>
      <c r="R18" s="202">
        <v>1</v>
      </c>
      <c r="S18" s="201"/>
      <c r="T18" s="201"/>
      <c r="U18" s="201"/>
      <c r="V18" s="201"/>
      <c r="W18" s="201"/>
      <c r="X18" s="203"/>
      <c r="Y18" s="204"/>
    </row>
    <row r="19" spans="1:26" s="14" customFormat="1" ht="30.75" customHeight="1">
      <c r="A19" s="186">
        <v>16</v>
      </c>
      <c r="B19" s="35" t="s">
        <v>69</v>
      </c>
      <c r="C19" s="15" t="s">
        <v>70</v>
      </c>
      <c r="D19" s="188" t="s">
        <v>27</v>
      </c>
      <c r="E19" s="189" t="s">
        <v>28</v>
      </c>
      <c r="F19" s="30" t="s">
        <v>71</v>
      </c>
      <c r="G19" s="190" t="s">
        <v>30</v>
      </c>
      <c r="H19" s="15">
        <f>0.3048*123</f>
        <v>37.490400000000001</v>
      </c>
      <c r="I19" s="191">
        <v>500000</v>
      </c>
      <c r="J19" s="191" t="s">
        <v>31</v>
      </c>
      <c r="K19" s="192" t="s">
        <v>72</v>
      </c>
      <c r="L19" s="193">
        <v>485000</v>
      </c>
      <c r="M19" s="194">
        <f t="shared" ref="M19:M25" si="2">L19/(I19-I19*3%)</f>
        <v>1</v>
      </c>
      <c r="N19" s="182">
        <v>0</v>
      </c>
      <c r="O19" s="182">
        <v>0</v>
      </c>
      <c r="P19" s="182">
        <v>0</v>
      </c>
      <c r="Q19" s="182">
        <v>0</v>
      </c>
      <c r="R19" s="182">
        <v>0</v>
      </c>
      <c r="S19" s="182">
        <v>0</v>
      </c>
      <c r="T19" s="182">
        <v>0</v>
      </c>
      <c r="U19" s="182">
        <v>0</v>
      </c>
      <c r="V19" s="182">
        <v>0</v>
      </c>
      <c r="W19" s="183">
        <v>1</v>
      </c>
      <c r="X19" s="197"/>
      <c r="Y19" s="198"/>
    </row>
    <row r="20" spans="1:26" s="14" customFormat="1" ht="30.75" customHeight="1">
      <c r="A20" s="186">
        <v>17</v>
      </c>
      <c r="B20" s="35" t="s">
        <v>73</v>
      </c>
      <c r="C20" s="15" t="s">
        <v>74</v>
      </c>
      <c r="D20" s="188" t="s">
        <v>27</v>
      </c>
      <c r="E20" s="189" t="s">
        <v>28</v>
      </c>
      <c r="F20" s="30" t="s">
        <v>71</v>
      </c>
      <c r="G20" s="190" t="s">
        <v>30</v>
      </c>
      <c r="H20" s="15">
        <f>0.3048*153</f>
        <v>46.634399999999999</v>
      </c>
      <c r="I20" s="191">
        <v>500000</v>
      </c>
      <c r="J20" s="191" t="s">
        <v>31</v>
      </c>
      <c r="K20" s="192" t="s">
        <v>72</v>
      </c>
      <c r="L20" s="193">
        <v>485000</v>
      </c>
      <c r="M20" s="194">
        <f t="shared" si="2"/>
        <v>1</v>
      </c>
      <c r="N20" s="182">
        <v>0</v>
      </c>
      <c r="O20" s="182">
        <v>0</v>
      </c>
      <c r="P20" s="182">
        <v>0</v>
      </c>
      <c r="Q20" s="182">
        <v>0</v>
      </c>
      <c r="R20" s="182">
        <v>0</v>
      </c>
      <c r="S20" s="182">
        <v>0</v>
      </c>
      <c r="T20" s="182">
        <v>0</v>
      </c>
      <c r="U20" s="182">
        <v>0</v>
      </c>
      <c r="V20" s="182">
        <v>0</v>
      </c>
      <c r="W20" s="183">
        <v>1</v>
      </c>
      <c r="X20" s="197"/>
      <c r="Y20" s="198"/>
    </row>
    <row r="21" spans="1:26" s="14" customFormat="1" ht="45.75" customHeight="1">
      <c r="A21" s="186">
        <v>18</v>
      </c>
      <c r="B21" s="35" t="s">
        <v>75</v>
      </c>
      <c r="C21" s="15" t="s">
        <v>76</v>
      </c>
      <c r="D21" s="188" t="s">
        <v>27</v>
      </c>
      <c r="E21" s="189" t="s">
        <v>28</v>
      </c>
      <c r="F21" s="30" t="s">
        <v>71</v>
      </c>
      <c r="G21" s="190" t="s">
        <v>30</v>
      </c>
      <c r="H21" s="33">
        <f>0.3048*112</f>
        <v>34.137599999999999</v>
      </c>
      <c r="I21" s="191">
        <v>300000</v>
      </c>
      <c r="J21" s="191" t="s">
        <v>31</v>
      </c>
      <c r="K21" s="192" t="s">
        <v>72</v>
      </c>
      <c r="L21" s="193">
        <v>291000</v>
      </c>
      <c r="M21" s="194">
        <f t="shared" si="2"/>
        <v>1</v>
      </c>
      <c r="N21" s="182">
        <v>0</v>
      </c>
      <c r="O21" s="182">
        <v>0</v>
      </c>
      <c r="P21" s="182">
        <v>0</v>
      </c>
      <c r="Q21" s="182">
        <v>0</v>
      </c>
      <c r="R21" s="182">
        <v>0</v>
      </c>
      <c r="S21" s="182">
        <v>0</v>
      </c>
      <c r="T21" s="182">
        <v>0</v>
      </c>
      <c r="U21" s="182">
        <v>0</v>
      </c>
      <c r="V21" s="182">
        <v>0</v>
      </c>
      <c r="W21" s="183">
        <v>1</v>
      </c>
      <c r="X21" s="197"/>
      <c r="Y21" s="198"/>
    </row>
    <row r="22" spans="1:26" s="14" customFormat="1" ht="30.75" customHeight="1">
      <c r="A22" s="186">
        <v>19</v>
      </c>
      <c r="B22" s="35" t="s">
        <v>77</v>
      </c>
      <c r="C22" s="15" t="s">
        <v>78</v>
      </c>
      <c r="D22" s="188" t="s">
        <v>27</v>
      </c>
      <c r="E22" s="189" t="s">
        <v>28</v>
      </c>
      <c r="F22" s="30" t="s">
        <v>71</v>
      </c>
      <c r="G22" s="190" t="s">
        <v>30</v>
      </c>
      <c r="H22" s="33">
        <f>0.3048*112</f>
        <v>34.137599999999999</v>
      </c>
      <c r="I22" s="191">
        <v>300000</v>
      </c>
      <c r="J22" s="191" t="s">
        <v>31</v>
      </c>
      <c r="K22" s="192" t="s">
        <v>72</v>
      </c>
      <c r="L22" s="193">
        <v>291000</v>
      </c>
      <c r="M22" s="194">
        <f t="shared" si="2"/>
        <v>1</v>
      </c>
      <c r="N22" s="182">
        <v>0</v>
      </c>
      <c r="O22" s="182">
        <v>0</v>
      </c>
      <c r="P22" s="182">
        <v>0</v>
      </c>
      <c r="Q22" s="182">
        <v>0</v>
      </c>
      <c r="R22" s="182">
        <v>0</v>
      </c>
      <c r="S22" s="182">
        <v>0</v>
      </c>
      <c r="T22" s="182">
        <v>0</v>
      </c>
      <c r="U22" s="182">
        <v>0</v>
      </c>
      <c r="V22" s="182">
        <v>0</v>
      </c>
      <c r="W22" s="183">
        <v>1</v>
      </c>
      <c r="X22" s="197"/>
      <c r="Y22" s="198"/>
    </row>
    <row r="23" spans="1:26" s="14" customFormat="1" ht="32.25" customHeight="1">
      <c r="A23" s="205">
        <v>20</v>
      </c>
      <c r="B23" s="35" t="s">
        <v>79</v>
      </c>
      <c r="C23" s="15" t="s">
        <v>80</v>
      </c>
      <c r="D23" s="188" t="s">
        <v>27</v>
      </c>
      <c r="E23" s="189" t="s">
        <v>28</v>
      </c>
      <c r="F23" s="30" t="s">
        <v>81</v>
      </c>
      <c r="G23" s="190" t="s">
        <v>30</v>
      </c>
      <c r="H23" s="33">
        <f>0.3048*183</f>
        <v>55.778400000000005</v>
      </c>
      <c r="I23" s="54">
        <v>500000</v>
      </c>
      <c r="J23" s="191" t="s">
        <v>31</v>
      </c>
      <c r="K23" s="192" t="s">
        <v>82</v>
      </c>
      <c r="L23" s="193">
        <v>485000</v>
      </c>
      <c r="M23" s="194">
        <f t="shared" si="2"/>
        <v>1</v>
      </c>
      <c r="N23" s="182">
        <v>0</v>
      </c>
      <c r="O23" s="182">
        <v>0</v>
      </c>
      <c r="P23" s="182">
        <v>0</v>
      </c>
      <c r="Q23" s="182">
        <v>0</v>
      </c>
      <c r="R23" s="182">
        <v>0</v>
      </c>
      <c r="S23" s="182">
        <v>0</v>
      </c>
      <c r="T23" s="182">
        <v>0</v>
      </c>
      <c r="U23" s="182">
        <v>0</v>
      </c>
      <c r="V23" s="182">
        <v>0</v>
      </c>
      <c r="W23" s="183">
        <v>1</v>
      </c>
      <c r="X23" s="197"/>
      <c r="Y23" s="198"/>
    </row>
    <row r="24" spans="1:26" s="14" customFormat="1" ht="30.75" customHeight="1">
      <c r="A24" s="205">
        <v>21</v>
      </c>
      <c r="B24" s="35" t="s">
        <v>83</v>
      </c>
      <c r="C24" s="15" t="s">
        <v>84</v>
      </c>
      <c r="D24" s="188" t="s">
        <v>27</v>
      </c>
      <c r="E24" s="189" t="s">
        <v>28</v>
      </c>
      <c r="F24" s="30" t="s">
        <v>81</v>
      </c>
      <c r="G24" s="190" t="s">
        <v>30</v>
      </c>
      <c r="H24" s="15">
        <f>0.3048*190</f>
        <v>57.912000000000006</v>
      </c>
      <c r="I24" s="54">
        <v>500000</v>
      </c>
      <c r="J24" s="191" t="s">
        <v>31</v>
      </c>
      <c r="K24" s="192" t="s">
        <v>82</v>
      </c>
      <c r="L24" s="193">
        <v>485000</v>
      </c>
      <c r="M24" s="194">
        <f t="shared" si="2"/>
        <v>1</v>
      </c>
      <c r="N24" s="182">
        <v>0</v>
      </c>
      <c r="O24" s="182">
        <v>0</v>
      </c>
      <c r="P24" s="182">
        <v>0</v>
      </c>
      <c r="Q24" s="182">
        <v>0</v>
      </c>
      <c r="R24" s="182">
        <v>0</v>
      </c>
      <c r="S24" s="182">
        <v>0</v>
      </c>
      <c r="T24" s="182">
        <v>0</v>
      </c>
      <c r="U24" s="182">
        <v>0</v>
      </c>
      <c r="V24" s="182">
        <v>0</v>
      </c>
      <c r="W24" s="183">
        <v>1</v>
      </c>
      <c r="X24" s="197"/>
      <c r="Y24" s="198"/>
    </row>
    <row r="25" spans="1:26" s="14" customFormat="1" ht="30.75" customHeight="1">
      <c r="A25" s="205">
        <v>22</v>
      </c>
      <c r="B25" s="187" t="s">
        <v>85</v>
      </c>
      <c r="C25" s="15" t="s">
        <v>86</v>
      </c>
      <c r="D25" s="188" t="s">
        <v>27</v>
      </c>
      <c r="E25" s="189" t="s">
        <v>28</v>
      </c>
      <c r="F25" s="30" t="s">
        <v>81</v>
      </c>
      <c r="G25" s="199" t="s">
        <v>30</v>
      </c>
      <c r="H25" s="33">
        <f>0.3048*160</f>
        <v>48.768000000000001</v>
      </c>
      <c r="I25" s="54">
        <v>500000</v>
      </c>
      <c r="J25" s="191" t="s">
        <v>31</v>
      </c>
      <c r="K25" s="192" t="s">
        <v>82</v>
      </c>
      <c r="L25" s="193">
        <v>485000</v>
      </c>
      <c r="M25" s="194">
        <f t="shared" si="2"/>
        <v>1</v>
      </c>
      <c r="N25" s="182">
        <v>0</v>
      </c>
      <c r="O25" s="182">
        <v>0</v>
      </c>
      <c r="P25" s="182">
        <v>0</v>
      </c>
      <c r="Q25" s="182">
        <v>0</v>
      </c>
      <c r="R25" s="182">
        <v>0</v>
      </c>
      <c r="S25" s="182">
        <v>0</v>
      </c>
      <c r="T25" s="182">
        <v>0</v>
      </c>
      <c r="U25" s="182">
        <v>0</v>
      </c>
      <c r="V25" s="182">
        <v>0</v>
      </c>
      <c r="W25" s="183">
        <v>1</v>
      </c>
      <c r="X25" s="197"/>
      <c r="Y25" s="198"/>
      <c r="Z25" s="206" t="e">
        <f>SUBTOTAL(9,#REF!)</f>
        <v>#REF!</v>
      </c>
    </row>
    <row r="26" spans="1:26" s="14" customFormat="1" ht="48" customHeight="1">
      <c r="A26" s="186">
        <v>23</v>
      </c>
      <c r="B26" s="35" t="s">
        <v>87</v>
      </c>
      <c r="C26" s="15" t="s">
        <v>88</v>
      </c>
      <c r="D26" s="188" t="s">
        <v>27</v>
      </c>
      <c r="E26" s="189" t="s">
        <v>28</v>
      </c>
      <c r="F26" s="30" t="s">
        <v>39</v>
      </c>
      <c r="G26" s="96" t="s">
        <v>89</v>
      </c>
      <c r="H26" s="15"/>
      <c r="I26" s="191">
        <v>250000</v>
      </c>
      <c r="J26" s="191" t="s">
        <v>31</v>
      </c>
      <c r="K26" s="207"/>
      <c r="L26" s="193">
        <v>0</v>
      </c>
      <c r="M26" s="194">
        <v>0</v>
      </c>
      <c r="N26" s="182">
        <v>0</v>
      </c>
      <c r="O26" s="182">
        <v>0</v>
      </c>
      <c r="P26" s="182">
        <v>0</v>
      </c>
      <c r="Q26" s="182">
        <v>0</v>
      </c>
      <c r="R26" s="208">
        <v>1</v>
      </c>
      <c r="S26" s="182"/>
      <c r="T26" s="182"/>
      <c r="U26" s="182"/>
      <c r="V26" s="182"/>
      <c r="W26" s="182"/>
      <c r="X26" s="197"/>
      <c r="Y26" s="198"/>
    </row>
    <row r="27" spans="1:26" s="14" customFormat="1" ht="45" customHeight="1">
      <c r="A27" s="186">
        <v>24</v>
      </c>
      <c r="B27" s="35" t="s">
        <v>90</v>
      </c>
      <c r="C27" s="15" t="s">
        <v>91</v>
      </c>
      <c r="D27" s="188" t="s">
        <v>27</v>
      </c>
      <c r="E27" s="189" t="s">
        <v>28</v>
      </c>
      <c r="F27" s="32" t="s">
        <v>57</v>
      </c>
      <c r="G27" s="36" t="s">
        <v>92</v>
      </c>
      <c r="H27" s="15"/>
      <c r="I27" s="191">
        <v>500000</v>
      </c>
      <c r="J27" s="191" t="s">
        <v>31</v>
      </c>
      <c r="K27" s="207"/>
      <c r="L27" s="193">
        <v>0</v>
      </c>
      <c r="M27" s="194">
        <v>0</v>
      </c>
      <c r="N27" s="182">
        <v>0</v>
      </c>
      <c r="O27" s="182">
        <v>0</v>
      </c>
      <c r="P27" s="182">
        <v>0</v>
      </c>
      <c r="Q27" s="208">
        <v>1</v>
      </c>
      <c r="R27" s="182">
        <v>0</v>
      </c>
      <c r="S27" s="182">
        <v>0</v>
      </c>
      <c r="T27" s="182"/>
      <c r="U27" s="182"/>
      <c r="V27" s="182"/>
      <c r="W27" s="182"/>
      <c r="X27" s="197"/>
      <c r="Y27" s="198"/>
    </row>
    <row r="28" spans="1:26" s="14" customFormat="1" ht="44.25" customHeight="1">
      <c r="A28" s="186">
        <v>25</v>
      </c>
      <c r="B28" s="35" t="s">
        <v>93</v>
      </c>
      <c r="C28" s="15" t="s">
        <v>94</v>
      </c>
      <c r="D28" s="188" t="s">
        <v>27</v>
      </c>
      <c r="E28" s="189" t="s">
        <v>28</v>
      </c>
      <c r="F28" s="30" t="s">
        <v>71</v>
      </c>
      <c r="G28" s="36" t="s">
        <v>92</v>
      </c>
      <c r="H28" s="15"/>
      <c r="I28" s="191">
        <v>500000</v>
      </c>
      <c r="J28" s="191" t="s">
        <v>31</v>
      </c>
      <c r="K28" s="207"/>
      <c r="L28" s="193">
        <v>0</v>
      </c>
      <c r="M28" s="194">
        <v>0</v>
      </c>
      <c r="N28" s="182">
        <v>0</v>
      </c>
      <c r="O28" s="182">
        <v>0</v>
      </c>
      <c r="P28" s="182">
        <v>0</v>
      </c>
      <c r="Q28" s="208">
        <v>1</v>
      </c>
      <c r="R28" s="182">
        <v>0</v>
      </c>
      <c r="S28" s="182">
        <v>0</v>
      </c>
      <c r="T28" s="209"/>
      <c r="U28" s="209"/>
      <c r="V28" s="209"/>
      <c r="W28" s="209"/>
      <c r="X28" s="210"/>
      <c r="Y28" s="211"/>
    </row>
    <row r="29" spans="1:26" s="14" customFormat="1" ht="30">
      <c r="A29" s="186">
        <v>26</v>
      </c>
      <c r="B29" s="35" t="s">
        <v>95</v>
      </c>
      <c r="C29" s="15" t="s">
        <v>96</v>
      </c>
      <c r="D29" s="188" t="s">
        <v>27</v>
      </c>
      <c r="E29" s="189" t="s">
        <v>28</v>
      </c>
      <c r="F29" s="30" t="s">
        <v>81</v>
      </c>
      <c r="G29" s="36" t="s">
        <v>92</v>
      </c>
      <c r="H29" s="15"/>
      <c r="I29" s="191">
        <v>500000</v>
      </c>
      <c r="J29" s="191" t="s">
        <v>31</v>
      </c>
      <c r="K29" s="207"/>
      <c r="L29" s="193">
        <v>0</v>
      </c>
      <c r="M29" s="194">
        <v>0</v>
      </c>
      <c r="N29" s="182">
        <v>0</v>
      </c>
      <c r="O29" s="182">
        <v>0</v>
      </c>
      <c r="P29" s="182">
        <v>0</v>
      </c>
      <c r="Q29" s="208">
        <v>1</v>
      </c>
      <c r="R29" s="182">
        <v>0</v>
      </c>
      <c r="S29" s="182">
        <v>0</v>
      </c>
      <c r="T29" s="209"/>
      <c r="U29" s="209"/>
      <c r="V29" s="209"/>
      <c r="W29" s="209"/>
      <c r="X29" s="210"/>
      <c r="Y29" s="211"/>
    </row>
    <row r="30" spans="1:26" s="14" customFormat="1" ht="45.75" thickBot="1">
      <c r="A30" s="186">
        <v>27</v>
      </c>
      <c r="B30" s="212" t="s">
        <v>97</v>
      </c>
      <c r="C30" s="15" t="s">
        <v>98</v>
      </c>
      <c r="D30" s="188" t="s">
        <v>27</v>
      </c>
      <c r="E30" s="189" t="s">
        <v>28</v>
      </c>
      <c r="F30" s="32" t="s">
        <v>99</v>
      </c>
      <c r="G30" s="37" t="s">
        <v>92</v>
      </c>
      <c r="H30" s="213"/>
      <c r="I30" s="191">
        <v>500000</v>
      </c>
      <c r="J30" s="191" t="s">
        <v>31</v>
      </c>
      <c r="K30" s="214"/>
      <c r="L30" s="193">
        <v>0</v>
      </c>
      <c r="M30" s="194">
        <v>0</v>
      </c>
      <c r="N30" s="182">
        <v>0</v>
      </c>
      <c r="O30" s="182">
        <v>0</v>
      </c>
      <c r="P30" s="182">
        <v>0</v>
      </c>
      <c r="Q30" s="215">
        <v>1</v>
      </c>
      <c r="R30" s="182">
        <v>0</v>
      </c>
      <c r="S30" s="182">
        <v>0</v>
      </c>
      <c r="T30" s="209"/>
      <c r="U30" s="209"/>
      <c r="V30" s="209"/>
      <c r="W30" s="209"/>
      <c r="X30" s="210"/>
      <c r="Y30" s="211"/>
    </row>
    <row r="31" spans="1:26">
      <c r="A31" s="216">
        <v>28</v>
      </c>
      <c r="B31" s="217" t="s">
        <v>100</v>
      </c>
      <c r="C31" s="69" t="s">
        <v>101</v>
      </c>
      <c r="D31" s="218" t="s">
        <v>28</v>
      </c>
      <c r="E31" s="219" t="s">
        <v>28</v>
      </c>
      <c r="F31" s="220"/>
      <c r="G31" s="221" t="s">
        <v>102</v>
      </c>
      <c r="H31" s="222"/>
      <c r="I31" s="223">
        <v>4000000</v>
      </c>
      <c r="J31" s="223" t="s">
        <v>31</v>
      </c>
      <c r="K31" s="222"/>
      <c r="L31" s="224"/>
      <c r="M31" s="225"/>
      <c r="N31" s="226">
        <v>1</v>
      </c>
      <c r="O31" s="227"/>
      <c r="P31" s="228"/>
      <c r="Q31" s="228"/>
      <c r="R31" s="227"/>
      <c r="S31" s="229"/>
      <c r="T31" s="228"/>
      <c r="U31" s="228"/>
      <c r="V31" s="228"/>
      <c r="W31" s="229"/>
      <c r="X31" s="230"/>
      <c r="Y31" s="231"/>
    </row>
    <row r="32" spans="1:26" ht="45">
      <c r="A32" s="91">
        <v>29</v>
      </c>
      <c r="B32" s="110" t="s">
        <v>103</v>
      </c>
      <c r="C32" s="15" t="s">
        <v>104</v>
      </c>
      <c r="D32" s="93" t="s">
        <v>28</v>
      </c>
      <c r="E32" s="94" t="s">
        <v>28</v>
      </c>
      <c r="F32" s="68" t="s">
        <v>105</v>
      </c>
      <c r="G32" s="107" t="s">
        <v>30</v>
      </c>
      <c r="H32" s="33">
        <f>0.3048*160</f>
        <v>48.768000000000001</v>
      </c>
      <c r="I32" s="232">
        <v>450000</v>
      </c>
      <c r="J32" s="96" t="s">
        <v>31</v>
      </c>
      <c r="K32" s="68" t="s">
        <v>106</v>
      </c>
      <c r="L32" s="31">
        <v>436500</v>
      </c>
      <c r="M32" s="194">
        <f>L32/(I32-I32*3%)</f>
        <v>1</v>
      </c>
      <c r="N32" s="233" t="s">
        <v>107</v>
      </c>
      <c r="O32" s="233" t="s">
        <v>107</v>
      </c>
      <c r="P32" s="233" t="s">
        <v>107</v>
      </c>
      <c r="Q32" s="233" t="s">
        <v>107</v>
      </c>
      <c r="R32" s="233" t="s">
        <v>107</v>
      </c>
      <c r="S32" s="233" t="s">
        <v>107</v>
      </c>
      <c r="T32" s="233" t="s">
        <v>107</v>
      </c>
      <c r="U32" s="233">
        <f>-U33</f>
        <v>0</v>
      </c>
      <c r="V32" s="233">
        <f>-V33</f>
        <v>0</v>
      </c>
      <c r="W32" s="234">
        <v>1</v>
      </c>
      <c r="X32" s="99"/>
      <c r="Y32" s="100"/>
    </row>
    <row r="33" spans="1:25" s="51" customFormat="1" ht="45">
      <c r="A33" s="39" t="s">
        <v>108</v>
      </c>
      <c r="B33" s="40" t="s">
        <v>109</v>
      </c>
      <c r="C33" s="18" t="s">
        <v>110</v>
      </c>
      <c r="D33" s="41" t="s">
        <v>28</v>
      </c>
      <c r="E33" s="42" t="s">
        <v>28</v>
      </c>
      <c r="F33" s="18" t="s">
        <v>111</v>
      </c>
      <c r="G33" s="43" t="s">
        <v>30</v>
      </c>
      <c r="H33" s="18"/>
      <c r="I33" s="44">
        <v>125000</v>
      </c>
      <c r="J33" s="21" t="s">
        <v>31</v>
      </c>
      <c r="K33" s="18"/>
      <c r="L33" s="45"/>
      <c r="M33" s="22"/>
      <c r="N33" s="46" t="s">
        <v>107</v>
      </c>
      <c r="O33" s="46"/>
      <c r="P33" s="46" t="s">
        <v>107</v>
      </c>
      <c r="Q33" s="46" t="s">
        <v>107</v>
      </c>
      <c r="R33" s="47">
        <v>1</v>
      </c>
      <c r="S33" s="48"/>
      <c r="T33" s="49"/>
      <c r="U33" s="49"/>
      <c r="V33" s="49"/>
      <c r="W33" s="48"/>
      <c r="X33" s="49"/>
      <c r="Y33" s="50"/>
    </row>
    <row r="34" spans="1:25" s="51" customFormat="1" ht="45">
      <c r="A34" s="39" t="s">
        <v>112</v>
      </c>
      <c r="B34" s="40" t="s">
        <v>113</v>
      </c>
      <c r="C34" s="18" t="s">
        <v>114</v>
      </c>
      <c r="D34" s="41" t="s">
        <v>28</v>
      </c>
      <c r="E34" s="42" t="s">
        <v>28</v>
      </c>
      <c r="F34" s="18" t="s">
        <v>111</v>
      </c>
      <c r="G34" s="43" t="s">
        <v>30</v>
      </c>
      <c r="H34" s="22">
        <f>0.3048*160</f>
        <v>48.768000000000001</v>
      </c>
      <c r="I34" s="44">
        <v>125000</v>
      </c>
      <c r="J34" s="21" t="s">
        <v>31</v>
      </c>
      <c r="K34" s="18"/>
      <c r="L34" s="45"/>
      <c r="M34" s="22"/>
      <c r="N34" s="46" t="s">
        <v>107</v>
      </c>
      <c r="O34" s="47"/>
      <c r="P34" s="52"/>
      <c r="Q34" s="52"/>
      <c r="R34" s="47">
        <v>1</v>
      </c>
      <c r="S34" s="48"/>
      <c r="T34" s="46"/>
      <c r="U34" s="46"/>
      <c r="V34" s="46"/>
      <c r="W34" s="48"/>
      <c r="X34" s="49"/>
      <c r="Y34" s="50"/>
    </row>
    <row r="35" spans="1:25" s="51" customFormat="1" ht="60">
      <c r="A35" s="39" t="s">
        <v>115</v>
      </c>
      <c r="B35" s="40" t="s">
        <v>116</v>
      </c>
      <c r="C35" s="18" t="s">
        <v>117</v>
      </c>
      <c r="D35" s="41" t="s">
        <v>28</v>
      </c>
      <c r="E35" s="42" t="s">
        <v>28</v>
      </c>
      <c r="F35" s="18" t="s">
        <v>118</v>
      </c>
      <c r="G35" s="43" t="s">
        <v>30</v>
      </c>
      <c r="H35" s="22"/>
      <c r="I35" s="44">
        <v>250000</v>
      </c>
      <c r="J35" s="21" t="s">
        <v>31</v>
      </c>
      <c r="K35" s="18"/>
      <c r="L35" s="53"/>
      <c r="M35" s="22"/>
      <c r="N35" s="233" t="s">
        <v>107</v>
      </c>
      <c r="O35" s="233" t="s">
        <v>107</v>
      </c>
      <c r="P35" s="233" t="s">
        <v>107</v>
      </c>
      <c r="Q35" s="233" t="s">
        <v>107</v>
      </c>
      <c r="R35" s="233" t="s">
        <v>107</v>
      </c>
      <c r="S35" s="233" t="s">
        <v>107</v>
      </c>
      <c r="T35" s="233" t="s">
        <v>107</v>
      </c>
      <c r="U35" s="233">
        <f>-U36</f>
        <v>0</v>
      </c>
      <c r="V35" s="233">
        <f>-V36</f>
        <v>0</v>
      </c>
      <c r="W35" s="234">
        <v>1</v>
      </c>
      <c r="X35" s="49"/>
      <c r="Y35" s="50"/>
    </row>
    <row r="36" spans="1:25" ht="30">
      <c r="A36" s="91">
        <v>33</v>
      </c>
      <c r="B36" s="110" t="s">
        <v>119</v>
      </c>
      <c r="C36" s="15" t="s">
        <v>120</v>
      </c>
      <c r="D36" s="93" t="s">
        <v>28</v>
      </c>
      <c r="E36" s="94" t="s">
        <v>28</v>
      </c>
      <c r="F36" s="15" t="s">
        <v>121</v>
      </c>
      <c r="G36" s="107" t="s">
        <v>30</v>
      </c>
      <c r="H36" s="33">
        <f>0.3048*312</f>
        <v>95.0976</v>
      </c>
      <c r="I36" s="232">
        <v>850000</v>
      </c>
      <c r="J36" s="96" t="s">
        <v>31</v>
      </c>
      <c r="K36" s="15"/>
      <c r="L36" s="54"/>
      <c r="M36" s="38"/>
      <c r="N36" s="233" t="s">
        <v>107</v>
      </c>
      <c r="O36" s="233" t="s">
        <v>107</v>
      </c>
      <c r="P36" s="233" t="s">
        <v>107</v>
      </c>
      <c r="Q36" s="233" t="s">
        <v>107</v>
      </c>
      <c r="R36" s="233" t="s">
        <v>107</v>
      </c>
      <c r="S36" s="233" t="s">
        <v>107</v>
      </c>
      <c r="T36" s="233" t="s">
        <v>107</v>
      </c>
      <c r="U36" s="233">
        <f t="shared" ref="U36:V51" si="3">-U37</f>
        <v>0</v>
      </c>
      <c r="V36" s="233">
        <f t="shared" si="3"/>
        <v>0</v>
      </c>
      <c r="W36" s="234">
        <v>1</v>
      </c>
      <c r="X36" s="99"/>
      <c r="Y36" s="100"/>
    </row>
    <row r="37" spans="1:25" ht="45">
      <c r="A37" s="91">
        <v>34</v>
      </c>
      <c r="B37" s="110" t="s">
        <v>122</v>
      </c>
      <c r="C37" s="15" t="s">
        <v>123</v>
      </c>
      <c r="D37" s="93" t="s">
        <v>28</v>
      </c>
      <c r="E37" s="94" t="s">
        <v>28</v>
      </c>
      <c r="F37" s="15" t="s">
        <v>121</v>
      </c>
      <c r="G37" s="107" t="s">
        <v>30</v>
      </c>
      <c r="H37" s="33">
        <f>0.3048*360</f>
        <v>109.72800000000001</v>
      </c>
      <c r="I37" s="232">
        <v>950000</v>
      </c>
      <c r="J37" s="96" t="s">
        <v>31</v>
      </c>
      <c r="K37" s="68" t="s">
        <v>124</v>
      </c>
      <c r="L37" s="54"/>
      <c r="M37" s="38"/>
      <c r="N37" s="233" t="s">
        <v>107</v>
      </c>
      <c r="O37" s="233" t="s">
        <v>107</v>
      </c>
      <c r="P37" s="233" t="s">
        <v>107</v>
      </c>
      <c r="Q37" s="233" t="s">
        <v>107</v>
      </c>
      <c r="R37" s="233" t="s">
        <v>107</v>
      </c>
      <c r="S37" s="233" t="s">
        <v>107</v>
      </c>
      <c r="T37" s="233" t="s">
        <v>107</v>
      </c>
      <c r="U37" s="233">
        <f t="shared" si="3"/>
        <v>0</v>
      </c>
      <c r="V37" s="233">
        <f t="shared" si="3"/>
        <v>0</v>
      </c>
      <c r="W37" s="234">
        <v>1</v>
      </c>
      <c r="X37" s="99"/>
      <c r="Y37" s="100"/>
    </row>
    <row r="38" spans="1:25" ht="45">
      <c r="A38" s="91">
        <v>35</v>
      </c>
      <c r="B38" s="110" t="s">
        <v>125</v>
      </c>
      <c r="C38" s="15" t="s">
        <v>126</v>
      </c>
      <c r="D38" s="93" t="s">
        <v>28</v>
      </c>
      <c r="E38" s="94" t="s">
        <v>28</v>
      </c>
      <c r="F38" s="15" t="s">
        <v>121</v>
      </c>
      <c r="G38" s="107" t="s">
        <v>30</v>
      </c>
      <c r="H38" s="33">
        <f>0.3048*210</f>
        <v>64.00800000000001</v>
      </c>
      <c r="I38" s="232">
        <v>475000</v>
      </c>
      <c r="J38" s="96" t="s">
        <v>31</v>
      </c>
      <c r="K38" s="68" t="s">
        <v>124</v>
      </c>
      <c r="L38" s="54">
        <v>460750</v>
      </c>
      <c r="M38" s="194">
        <f t="shared" ref="M38:M40" si="4">L38/(I38-I38*3%)</f>
        <v>1</v>
      </c>
      <c r="N38" s="233" t="s">
        <v>107</v>
      </c>
      <c r="O38" s="233" t="s">
        <v>107</v>
      </c>
      <c r="P38" s="233" t="s">
        <v>107</v>
      </c>
      <c r="Q38" s="233" t="s">
        <v>107</v>
      </c>
      <c r="R38" s="233" t="s">
        <v>107</v>
      </c>
      <c r="S38" s="233" t="s">
        <v>107</v>
      </c>
      <c r="T38" s="233" t="s">
        <v>107</v>
      </c>
      <c r="U38" s="233">
        <f t="shared" si="3"/>
        <v>0</v>
      </c>
      <c r="V38" s="233">
        <f t="shared" si="3"/>
        <v>0</v>
      </c>
      <c r="W38" s="234">
        <v>1</v>
      </c>
      <c r="X38" s="99"/>
      <c r="Y38" s="100"/>
    </row>
    <row r="39" spans="1:25" ht="45">
      <c r="A39" s="91">
        <v>36</v>
      </c>
      <c r="B39" s="110" t="s">
        <v>127</v>
      </c>
      <c r="C39" s="15" t="s">
        <v>128</v>
      </c>
      <c r="D39" s="93" t="s">
        <v>28</v>
      </c>
      <c r="E39" s="94" t="s">
        <v>28</v>
      </c>
      <c r="F39" s="15" t="s">
        <v>121</v>
      </c>
      <c r="G39" s="107" t="s">
        <v>30</v>
      </c>
      <c r="H39" s="33">
        <f>0.3048*143</f>
        <v>43.586400000000005</v>
      </c>
      <c r="I39" s="232">
        <v>475000</v>
      </c>
      <c r="J39" s="96" t="s">
        <v>31</v>
      </c>
      <c r="K39" s="68" t="s">
        <v>124</v>
      </c>
      <c r="L39" s="54">
        <v>460750</v>
      </c>
      <c r="M39" s="194">
        <f t="shared" si="4"/>
        <v>1</v>
      </c>
      <c r="N39" s="233" t="s">
        <v>107</v>
      </c>
      <c r="O39" s="233" t="s">
        <v>107</v>
      </c>
      <c r="P39" s="233" t="s">
        <v>107</v>
      </c>
      <c r="Q39" s="233" t="s">
        <v>107</v>
      </c>
      <c r="R39" s="233" t="s">
        <v>107</v>
      </c>
      <c r="S39" s="233" t="s">
        <v>107</v>
      </c>
      <c r="T39" s="233" t="s">
        <v>107</v>
      </c>
      <c r="U39" s="233">
        <f t="shared" si="3"/>
        <v>0</v>
      </c>
      <c r="V39" s="233">
        <f t="shared" si="3"/>
        <v>0</v>
      </c>
      <c r="W39" s="234">
        <v>1</v>
      </c>
      <c r="X39" s="99"/>
      <c r="Y39" s="100"/>
    </row>
    <row r="40" spans="1:25" ht="45">
      <c r="A40" s="91">
        <v>37</v>
      </c>
      <c r="B40" s="110" t="s">
        <v>129</v>
      </c>
      <c r="C40" s="15" t="s">
        <v>130</v>
      </c>
      <c r="D40" s="93" t="s">
        <v>28</v>
      </c>
      <c r="E40" s="94" t="s">
        <v>28</v>
      </c>
      <c r="F40" s="15" t="s">
        <v>121</v>
      </c>
      <c r="G40" s="107" t="s">
        <v>30</v>
      </c>
      <c r="H40" s="33">
        <f>0.3048*61</f>
        <v>18.5928</v>
      </c>
      <c r="I40" s="232">
        <v>150000</v>
      </c>
      <c r="J40" s="96" t="s">
        <v>31</v>
      </c>
      <c r="K40" s="68" t="s">
        <v>124</v>
      </c>
      <c r="L40" s="54">
        <v>145500</v>
      </c>
      <c r="M40" s="194">
        <f t="shared" si="4"/>
        <v>1</v>
      </c>
      <c r="N40" s="233" t="s">
        <v>107</v>
      </c>
      <c r="O40" s="233" t="s">
        <v>107</v>
      </c>
      <c r="P40" s="233" t="s">
        <v>107</v>
      </c>
      <c r="Q40" s="233" t="s">
        <v>107</v>
      </c>
      <c r="R40" s="233" t="s">
        <v>107</v>
      </c>
      <c r="S40" s="233" t="s">
        <v>107</v>
      </c>
      <c r="T40" s="233" t="s">
        <v>107</v>
      </c>
      <c r="U40" s="233">
        <f t="shared" si="3"/>
        <v>0</v>
      </c>
      <c r="V40" s="233">
        <f t="shared" si="3"/>
        <v>0</v>
      </c>
      <c r="W40" s="234">
        <v>1</v>
      </c>
      <c r="X40" s="99"/>
      <c r="Y40" s="100"/>
    </row>
    <row r="41" spans="1:25" ht="30">
      <c r="A41" s="91">
        <v>38</v>
      </c>
      <c r="B41" s="110" t="s">
        <v>131</v>
      </c>
      <c r="C41" s="15" t="s">
        <v>132</v>
      </c>
      <c r="D41" s="93" t="s">
        <v>28</v>
      </c>
      <c r="E41" s="94" t="s">
        <v>28</v>
      </c>
      <c r="F41" s="68" t="s">
        <v>133</v>
      </c>
      <c r="G41" s="107" t="s">
        <v>30</v>
      </c>
      <c r="H41" s="33"/>
      <c r="I41" s="232">
        <v>425000</v>
      </c>
      <c r="J41" s="96" t="s">
        <v>31</v>
      </c>
      <c r="K41" s="15"/>
      <c r="L41" s="54"/>
      <c r="M41" s="38"/>
      <c r="N41" s="233" t="s">
        <v>107</v>
      </c>
      <c r="O41" s="233" t="s">
        <v>107</v>
      </c>
      <c r="P41" s="233" t="s">
        <v>107</v>
      </c>
      <c r="Q41" s="233" t="s">
        <v>107</v>
      </c>
      <c r="R41" s="233" t="s">
        <v>107</v>
      </c>
      <c r="S41" s="233" t="s">
        <v>107</v>
      </c>
      <c r="T41" s="233" t="s">
        <v>107</v>
      </c>
      <c r="U41" s="233">
        <f t="shared" si="3"/>
        <v>0</v>
      </c>
      <c r="V41" s="233">
        <f t="shared" si="3"/>
        <v>0</v>
      </c>
      <c r="W41" s="234">
        <v>1</v>
      </c>
      <c r="X41" s="99"/>
      <c r="Y41" s="100"/>
    </row>
    <row r="42" spans="1:25" s="51" customFormat="1" ht="45">
      <c r="A42" s="39" t="s">
        <v>134</v>
      </c>
      <c r="B42" s="40" t="s">
        <v>135</v>
      </c>
      <c r="C42" s="18" t="s">
        <v>136</v>
      </c>
      <c r="D42" s="41" t="s">
        <v>28</v>
      </c>
      <c r="E42" s="42" t="s">
        <v>28</v>
      </c>
      <c r="F42" s="18" t="s">
        <v>133</v>
      </c>
      <c r="G42" s="43" t="s">
        <v>30</v>
      </c>
      <c r="H42" s="22">
        <f>0.3048*185</f>
        <v>56.388000000000005</v>
      </c>
      <c r="I42" s="44">
        <v>500000</v>
      </c>
      <c r="J42" s="21" t="s">
        <v>31</v>
      </c>
      <c r="K42" s="18" t="s">
        <v>137</v>
      </c>
      <c r="L42" s="53"/>
      <c r="M42" s="22"/>
      <c r="N42" s="28" t="s">
        <v>107</v>
      </c>
      <c r="O42" s="28"/>
      <c r="P42" s="28" t="s">
        <v>107</v>
      </c>
      <c r="Q42" s="28" t="s">
        <v>107</v>
      </c>
      <c r="R42" s="47">
        <v>1</v>
      </c>
      <c r="S42" s="48"/>
      <c r="T42" s="49"/>
      <c r="U42" s="49"/>
      <c r="V42" s="49"/>
      <c r="W42" s="48"/>
      <c r="X42" s="49"/>
      <c r="Y42" s="50"/>
    </row>
    <row r="43" spans="1:25" ht="30">
      <c r="A43" s="91">
        <v>40</v>
      </c>
      <c r="B43" s="110" t="s">
        <v>138</v>
      </c>
      <c r="C43" s="15" t="s">
        <v>139</v>
      </c>
      <c r="D43" s="93" t="s">
        <v>28</v>
      </c>
      <c r="E43" s="94" t="s">
        <v>28</v>
      </c>
      <c r="F43" s="68" t="s">
        <v>133</v>
      </c>
      <c r="G43" s="107" t="s">
        <v>30</v>
      </c>
      <c r="H43" s="33">
        <f>0.3048*125</f>
        <v>38.1</v>
      </c>
      <c r="I43" s="232">
        <v>425000</v>
      </c>
      <c r="J43" s="96" t="s">
        <v>31</v>
      </c>
      <c r="K43" s="68" t="s">
        <v>137</v>
      </c>
      <c r="L43" s="54"/>
      <c r="M43" s="38"/>
      <c r="N43" s="233" t="s">
        <v>107</v>
      </c>
      <c r="O43" s="233" t="s">
        <v>107</v>
      </c>
      <c r="P43" s="233" t="s">
        <v>107</v>
      </c>
      <c r="Q43" s="233" t="s">
        <v>107</v>
      </c>
      <c r="R43" s="233" t="s">
        <v>107</v>
      </c>
      <c r="S43" s="233" t="s">
        <v>107</v>
      </c>
      <c r="T43" s="233" t="s">
        <v>107</v>
      </c>
      <c r="U43" s="233">
        <f t="shared" si="3"/>
        <v>0</v>
      </c>
      <c r="V43" s="233">
        <f t="shared" si="3"/>
        <v>0</v>
      </c>
      <c r="W43" s="234">
        <v>1</v>
      </c>
      <c r="X43" s="99"/>
      <c r="Y43" s="100"/>
    </row>
    <row r="44" spans="1:25" ht="30">
      <c r="A44" s="91">
        <v>41</v>
      </c>
      <c r="B44" s="110" t="s">
        <v>140</v>
      </c>
      <c r="C44" s="15" t="s">
        <v>141</v>
      </c>
      <c r="D44" s="93" t="s">
        <v>28</v>
      </c>
      <c r="E44" s="94" t="s">
        <v>28</v>
      </c>
      <c r="F44" s="68" t="s">
        <v>133</v>
      </c>
      <c r="G44" s="107" t="s">
        <v>30</v>
      </c>
      <c r="H44" s="33">
        <f>0.3048*52</f>
        <v>15.849600000000001</v>
      </c>
      <c r="I44" s="232">
        <v>200000</v>
      </c>
      <c r="J44" s="96" t="s">
        <v>31</v>
      </c>
      <c r="K44" s="68" t="s">
        <v>137</v>
      </c>
      <c r="L44" s="54"/>
      <c r="M44" s="38"/>
      <c r="N44" s="233" t="s">
        <v>107</v>
      </c>
      <c r="O44" s="233" t="s">
        <v>107</v>
      </c>
      <c r="P44" s="233" t="s">
        <v>107</v>
      </c>
      <c r="Q44" s="233" t="s">
        <v>107</v>
      </c>
      <c r="R44" s="233" t="s">
        <v>107</v>
      </c>
      <c r="S44" s="233" t="s">
        <v>107</v>
      </c>
      <c r="T44" s="233" t="s">
        <v>107</v>
      </c>
      <c r="U44" s="233">
        <f t="shared" si="3"/>
        <v>0</v>
      </c>
      <c r="V44" s="233">
        <f t="shared" si="3"/>
        <v>0</v>
      </c>
      <c r="W44" s="234">
        <v>1</v>
      </c>
      <c r="X44" s="99"/>
      <c r="Y44" s="100"/>
    </row>
    <row r="45" spans="1:25" ht="30">
      <c r="A45" s="91">
        <v>42</v>
      </c>
      <c r="B45" s="110" t="s">
        <v>142</v>
      </c>
      <c r="C45" s="15" t="s">
        <v>143</v>
      </c>
      <c r="D45" s="93" t="s">
        <v>28</v>
      </c>
      <c r="E45" s="94" t="s">
        <v>28</v>
      </c>
      <c r="F45" s="68" t="s">
        <v>133</v>
      </c>
      <c r="G45" s="107" t="s">
        <v>30</v>
      </c>
      <c r="H45" s="38">
        <f>0.3048*52</f>
        <v>15.849600000000001</v>
      </c>
      <c r="I45" s="232">
        <v>200000</v>
      </c>
      <c r="J45" s="96" t="s">
        <v>31</v>
      </c>
      <c r="K45" s="68" t="s">
        <v>137</v>
      </c>
      <c r="L45" s="54"/>
      <c r="M45" s="38"/>
      <c r="N45" s="233" t="s">
        <v>107</v>
      </c>
      <c r="O45" s="233" t="s">
        <v>107</v>
      </c>
      <c r="P45" s="233" t="s">
        <v>107</v>
      </c>
      <c r="Q45" s="233" t="s">
        <v>107</v>
      </c>
      <c r="R45" s="233" t="s">
        <v>107</v>
      </c>
      <c r="S45" s="233" t="s">
        <v>107</v>
      </c>
      <c r="T45" s="233" t="s">
        <v>107</v>
      </c>
      <c r="U45" s="233">
        <f t="shared" si="3"/>
        <v>0</v>
      </c>
      <c r="V45" s="233">
        <f t="shared" si="3"/>
        <v>0</v>
      </c>
      <c r="W45" s="234">
        <v>1</v>
      </c>
      <c r="X45" s="99"/>
      <c r="Y45" s="100"/>
    </row>
    <row r="46" spans="1:25" ht="60">
      <c r="A46" s="91">
        <v>43</v>
      </c>
      <c r="B46" s="110" t="s">
        <v>144</v>
      </c>
      <c r="C46" s="15" t="s">
        <v>145</v>
      </c>
      <c r="D46" s="93" t="s">
        <v>28</v>
      </c>
      <c r="E46" s="94" t="s">
        <v>28</v>
      </c>
      <c r="F46" s="68" t="s">
        <v>146</v>
      </c>
      <c r="G46" s="107" t="s">
        <v>30</v>
      </c>
      <c r="H46" s="33">
        <f>0.3048*160</f>
        <v>48.768000000000001</v>
      </c>
      <c r="I46" s="55">
        <v>500000</v>
      </c>
      <c r="J46" s="96" t="s">
        <v>31</v>
      </c>
      <c r="K46" s="68" t="s">
        <v>147</v>
      </c>
      <c r="L46" s="54">
        <f>475109.42</f>
        <v>475109.42</v>
      </c>
      <c r="M46" s="194">
        <f t="shared" ref="M46:M48" si="5">L46/(I46-I46*3%)</f>
        <v>0.97960705154639172</v>
      </c>
      <c r="N46" s="233" t="s">
        <v>107</v>
      </c>
      <c r="O46" s="233" t="s">
        <v>107</v>
      </c>
      <c r="P46" s="233" t="s">
        <v>107</v>
      </c>
      <c r="Q46" s="233" t="s">
        <v>107</v>
      </c>
      <c r="R46" s="233" t="s">
        <v>107</v>
      </c>
      <c r="S46" s="233" t="s">
        <v>107</v>
      </c>
      <c r="T46" s="233" t="s">
        <v>107</v>
      </c>
      <c r="U46" s="233">
        <f t="shared" si="3"/>
        <v>0</v>
      </c>
      <c r="V46" s="233">
        <f t="shared" si="3"/>
        <v>0</v>
      </c>
      <c r="W46" s="234">
        <v>1</v>
      </c>
      <c r="X46" s="99"/>
      <c r="Y46" s="100"/>
    </row>
    <row r="47" spans="1:25" ht="60">
      <c r="A47" s="91">
        <v>44</v>
      </c>
      <c r="B47" s="110" t="s">
        <v>148</v>
      </c>
      <c r="C47" s="15" t="s">
        <v>149</v>
      </c>
      <c r="D47" s="93" t="s">
        <v>28</v>
      </c>
      <c r="E47" s="94" t="s">
        <v>28</v>
      </c>
      <c r="F47" s="68" t="s">
        <v>146</v>
      </c>
      <c r="G47" s="107" t="s">
        <v>30</v>
      </c>
      <c r="H47" s="33">
        <f>0.3048*340</f>
        <v>103.63200000000001</v>
      </c>
      <c r="I47" s="55">
        <v>500000</v>
      </c>
      <c r="J47" s="96" t="s">
        <v>31</v>
      </c>
      <c r="K47" s="68" t="s">
        <v>147</v>
      </c>
      <c r="L47" s="54">
        <v>485000</v>
      </c>
      <c r="M47" s="194">
        <f t="shared" si="5"/>
        <v>1</v>
      </c>
      <c r="N47" s="233" t="s">
        <v>107</v>
      </c>
      <c r="O47" s="233" t="s">
        <v>107</v>
      </c>
      <c r="P47" s="233" t="s">
        <v>107</v>
      </c>
      <c r="Q47" s="233" t="s">
        <v>107</v>
      </c>
      <c r="R47" s="233" t="s">
        <v>107</v>
      </c>
      <c r="S47" s="233" t="s">
        <v>107</v>
      </c>
      <c r="T47" s="233" t="s">
        <v>107</v>
      </c>
      <c r="U47" s="233">
        <f t="shared" si="3"/>
        <v>0</v>
      </c>
      <c r="V47" s="233">
        <f t="shared" si="3"/>
        <v>0</v>
      </c>
      <c r="W47" s="234">
        <v>1</v>
      </c>
      <c r="X47" s="99"/>
      <c r="Y47" s="100"/>
    </row>
    <row r="48" spans="1:25" ht="60">
      <c r="A48" s="91">
        <v>45</v>
      </c>
      <c r="B48" s="110" t="s">
        <v>150</v>
      </c>
      <c r="C48" s="15" t="s">
        <v>151</v>
      </c>
      <c r="D48" s="93" t="s">
        <v>28</v>
      </c>
      <c r="E48" s="94" t="s">
        <v>28</v>
      </c>
      <c r="F48" s="68" t="s">
        <v>146</v>
      </c>
      <c r="G48" s="107" t="s">
        <v>30</v>
      </c>
      <c r="H48" s="33">
        <f>0.3048*137</f>
        <v>41.757600000000004</v>
      </c>
      <c r="I48" s="55">
        <v>400000</v>
      </c>
      <c r="J48" s="96" t="s">
        <v>31</v>
      </c>
      <c r="K48" s="68" t="s">
        <v>147</v>
      </c>
      <c r="L48" s="54">
        <v>385951.78</v>
      </c>
      <c r="M48" s="194">
        <f t="shared" si="5"/>
        <v>0.99472108247422686</v>
      </c>
      <c r="N48" s="233" t="s">
        <v>107</v>
      </c>
      <c r="O48" s="233" t="s">
        <v>107</v>
      </c>
      <c r="P48" s="233" t="s">
        <v>107</v>
      </c>
      <c r="Q48" s="233" t="s">
        <v>107</v>
      </c>
      <c r="R48" s="233" t="s">
        <v>107</v>
      </c>
      <c r="S48" s="233" t="s">
        <v>107</v>
      </c>
      <c r="T48" s="233" t="s">
        <v>107</v>
      </c>
      <c r="U48" s="233">
        <f t="shared" si="3"/>
        <v>0</v>
      </c>
      <c r="V48" s="233">
        <f t="shared" si="3"/>
        <v>0</v>
      </c>
      <c r="W48" s="234">
        <v>1</v>
      </c>
      <c r="X48" s="99"/>
      <c r="Y48" s="100"/>
    </row>
    <row r="49" spans="1:25" ht="60">
      <c r="A49" s="91">
        <v>46</v>
      </c>
      <c r="B49" s="110" t="s">
        <v>152</v>
      </c>
      <c r="C49" s="15" t="s">
        <v>153</v>
      </c>
      <c r="D49" s="93" t="s">
        <v>28</v>
      </c>
      <c r="E49" s="94" t="s">
        <v>28</v>
      </c>
      <c r="F49" s="68" t="s">
        <v>146</v>
      </c>
      <c r="G49" s="107" t="s">
        <v>30</v>
      </c>
      <c r="H49" s="33">
        <f>0.3048*221</f>
        <v>67.360799999999998</v>
      </c>
      <c r="I49" s="55">
        <v>600000</v>
      </c>
      <c r="J49" s="96" t="s">
        <v>31</v>
      </c>
      <c r="K49" s="68" t="s">
        <v>147</v>
      </c>
      <c r="L49" s="54"/>
      <c r="M49" s="38"/>
      <c r="N49" s="233" t="s">
        <v>107</v>
      </c>
      <c r="O49" s="233" t="s">
        <v>107</v>
      </c>
      <c r="P49" s="233" t="s">
        <v>107</v>
      </c>
      <c r="Q49" s="233" t="s">
        <v>107</v>
      </c>
      <c r="R49" s="233" t="s">
        <v>107</v>
      </c>
      <c r="S49" s="233" t="s">
        <v>107</v>
      </c>
      <c r="T49" s="233" t="s">
        <v>107</v>
      </c>
      <c r="U49" s="233">
        <f t="shared" si="3"/>
        <v>0</v>
      </c>
      <c r="V49" s="233">
        <f t="shared" si="3"/>
        <v>0</v>
      </c>
      <c r="W49" s="234">
        <v>1</v>
      </c>
      <c r="X49" s="99"/>
      <c r="Y49" s="100"/>
    </row>
    <row r="50" spans="1:25" ht="45">
      <c r="A50" s="91">
        <v>47</v>
      </c>
      <c r="B50" s="110" t="s">
        <v>154</v>
      </c>
      <c r="C50" s="15" t="s">
        <v>155</v>
      </c>
      <c r="D50" s="93" t="s">
        <v>28</v>
      </c>
      <c r="E50" s="94" t="s">
        <v>28</v>
      </c>
      <c r="F50" s="68" t="s">
        <v>156</v>
      </c>
      <c r="G50" s="235" t="s">
        <v>30</v>
      </c>
      <c r="H50" s="33">
        <f>0.3048*317</f>
        <v>96.621600000000001</v>
      </c>
      <c r="I50" s="55">
        <v>1000000</v>
      </c>
      <c r="J50" s="96" t="s">
        <v>31</v>
      </c>
      <c r="K50" s="68" t="s">
        <v>157</v>
      </c>
      <c r="L50" s="54">
        <v>970000</v>
      </c>
      <c r="M50" s="194">
        <f t="shared" ref="M50:M54" si="6">L50/(I50-I50*3%)</f>
        <v>1</v>
      </c>
      <c r="N50" s="233" t="s">
        <v>107</v>
      </c>
      <c r="O50" s="233" t="s">
        <v>107</v>
      </c>
      <c r="P50" s="233" t="s">
        <v>107</v>
      </c>
      <c r="Q50" s="233" t="s">
        <v>107</v>
      </c>
      <c r="R50" s="233" t="s">
        <v>107</v>
      </c>
      <c r="S50" s="233" t="s">
        <v>107</v>
      </c>
      <c r="T50" s="233" t="s">
        <v>107</v>
      </c>
      <c r="U50" s="233">
        <f t="shared" si="3"/>
        <v>0</v>
      </c>
      <c r="V50" s="233">
        <f t="shared" si="3"/>
        <v>0</v>
      </c>
      <c r="W50" s="234">
        <v>1</v>
      </c>
      <c r="X50" s="236" t="s">
        <v>158</v>
      </c>
      <c r="Y50" s="100"/>
    </row>
    <row r="51" spans="1:25" ht="45">
      <c r="A51" s="91">
        <v>48</v>
      </c>
      <c r="B51" s="110" t="s">
        <v>159</v>
      </c>
      <c r="C51" s="15" t="s">
        <v>160</v>
      </c>
      <c r="D51" s="93" t="s">
        <v>28</v>
      </c>
      <c r="E51" s="94" t="s">
        <v>28</v>
      </c>
      <c r="F51" s="68" t="s">
        <v>156</v>
      </c>
      <c r="G51" s="107" t="s">
        <v>30</v>
      </c>
      <c r="H51" s="33">
        <f>0.3048*203</f>
        <v>61.874400000000001</v>
      </c>
      <c r="I51" s="55">
        <v>700000</v>
      </c>
      <c r="J51" s="96" t="s">
        <v>31</v>
      </c>
      <c r="K51" s="68" t="s">
        <v>157</v>
      </c>
      <c r="L51" s="54">
        <v>679000</v>
      </c>
      <c r="M51" s="194">
        <f t="shared" si="6"/>
        <v>1</v>
      </c>
      <c r="N51" s="233" t="s">
        <v>107</v>
      </c>
      <c r="O51" s="233" t="s">
        <v>107</v>
      </c>
      <c r="P51" s="233" t="s">
        <v>107</v>
      </c>
      <c r="Q51" s="233" t="s">
        <v>107</v>
      </c>
      <c r="R51" s="233" t="s">
        <v>107</v>
      </c>
      <c r="S51" s="233" t="s">
        <v>107</v>
      </c>
      <c r="T51" s="233" t="s">
        <v>107</v>
      </c>
      <c r="U51" s="233">
        <f t="shared" si="3"/>
        <v>0</v>
      </c>
      <c r="V51" s="233">
        <f t="shared" si="3"/>
        <v>0</v>
      </c>
      <c r="W51" s="234">
        <v>1</v>
      </c>
      <c r="X51" s="99"/>
      <c r="Y51" s="100"/>
    </row>
    <row r="52" spans="1:25" ht="45">
      <c r="A52" s="91">
        <v>49</v>
      </c>
      <c r="B52" s="110" t="s">
        <v>161</v>
      </c>
      <c r="C52" s="15" t="s">
        <v>162</v>
      </c>
      <c r="D52" s="93" t="s">
        <v>28</v>
      </c>
      <c r="E52" s="94" t="s">
        <v>28</v>
      </c>
      <c r="F52" s="68" t="s">
        <v>156</v>
      </c>
      <c r="G52" s="235" t="s">
        <v>30</v>
      </c>
      <c r="H52" s="33">
        <f>0.3048*52</f>
        <v>15.849600000000001</v>
      </c>
      <c r="I52" s="114">
        <v>200000</v>
      </c>
      <c r="J52" s="96" t="s">
        <v>31</v>
      </c>
      <c r="K52" s="68" t="s">
        <v>163</v>
      </c>
      <c r="L52" s="54">
        <v>194000</v>
      </c>
      <c r="M52" s="194">
        <f t="shared" si="6"/>
        <v>1</v>
      </c>
      <c r="N52" s="233" t="s">
        <v>107</v>
      </c>
      <c r="O52" s="233" t="s">
        <v>107</v>
      </c>
      <c r="P52" s="233" t="s">
        <v>107</v>
      </c>
      <c r="Q52" s="233" t="s">
        <v>107</v>
      </c>
      <c r="R52" s="233" t="s">
        <v>107</v>
      </c>
      <c r="S52" s="233" t="s">
        <v>107</v>
      </c>
      <c r="T52" s="233" t="s">
        <v>107</v>
      </c>
      <c r="U52" s="233">
        <f t="shared" ref="U52:V53" si="7">-U53</f>
        <v>0</v>
      </c>
      <c r="V52" s="233">
        <f t="shared" si="7"/>
        <v>0</v>
      </c>
      <c r="W52" s="234">
        <v>1</v>
      </c>
      <c r="X52" s="99"/>
      <c r="Y52" s="100"/>
    </row>
    <row r="53" spans="1:25" ht="45">
      <c r="A53" s="91">
        <v>50</v>
      </c>
      <c r="B53" s="110" t="s">
        <v>164</v>
      </c>
      <c r="C53" s="15" t="s">
        <v>165</v>
      </c>
      <c r="D53" s="93" t="s">
        <v>28</v>
      </c>
      <c r="E53" s="94" t="s">
        <v>28</v>
      </c>
      <c r="F53" s="15" t="s">
        <v>166</v>
      </c>
      <c r="G53" s="107" t="s">
        <v>30</v>
      </c>
      <c r="H53" s="33">
        <f>0.3048*283</f>
        <v>86.258400000000009</v>
      </c>
      <c r="I53" s="55">
        <v>1000000</v>
      </c>
      <c r="J53" s="96" t="s">
        <v>31</v>
      </c>
      <c r="K53" s="68" t="s">
        <v>167</v>
      </c>
      <c r="L53" s="54">
        <v>970000</v>
      </c>
      <c r="M53" s="194">
        <f t="shared" si="6"/>
        <v>1</v>
      </c>
      <c r="N53" s="233" t="s">
        <v>107</v>
      </c>
      <c r="O53" s="233" t="s">
        <v>107</v>
      </c>
      <c r="P53" s="233" t="s">
        <v>107</v>
      </c>
      <c r="Q53" s="233" t="s">
        <v>107</v>
      </c>
      <c r="R53" s="233" t="s">
        <v>107</v>
      </c>
      <c r="S53" s="233" t="s">
        <v>107</v>
      </c>
      <c r="T53" s="233" t="s">
        <v>107</v>
      </c>
      <c r="U53" s="233">
        <f t="shared" si="7"/>
        <v>0</v>
      </c>
      <c r="V53" s="233">
        <f t="shared" si="7"/>
        <v>0</v>
      </c>
      <c r="W53" s="234">
        <v>1</v>
      </c>
      <c r="X53" s="99"/>
      <c r="Y53" s="100"/>
    </row>
    <row r="54" spans="1:25" ht="45">
      <c r="A54" s="91">
        <v>51</v>
      </c>
      <c r="B54" s="110" t="s">
        <v>168</v>
      </c>
      <c r="C54" s="15" t="s">
        <v>169</v>
      </c>
      <c r="D54" s="93" t="s">
        <v>28</v>
      </c>
      <c r="E54" s="94" t="s">
        <v>28</v>
      </c>
      <c r="F54" s="15" t="s">
        <v>166</v>
      </c>
      <c r="G54" s="107" t="s">
        <v>30</v>
      </c>
      <c r="H54" s="33">
        <f>0.3048*(138+15)</f>
        <v>46.634399999999999</v>
      </c>
      <c r="I54" s="114">
        <v>800000</v>
      </c>
      <c r="J54" s="96" t="s">
        <v>31</v>
      </c>
      <c r="K54" s="68" t="s">
        <v>167</v>
      </c>
      <c r="L54" s="54">
        <v>776000</v>
      </c>
      <c r="M54" s="237">
        <f t="shared" si="6"/>
        <v>1</v>
      </c>
      <c r="N54" s="182">
        <v>0</v>
      </c>
      <c r="O54" s="182">
        <v>0</v>
      </c>
      <c r="P54" s="182">
        <v>0</v>
      </c>
      <c r="Q54" s="182">
        <v>0</v>
      </c>
      <c r="R54" s="182">
        <v>0</v>
      </c>
      <c r="S54" s="182">
        <v>0</v>
      </c>
      <c r="T54" s="182">
        <v>0</v>
      </c>
      <c r="U54" s="182">
        <v>0</v>
      </c>
      <c r="V54" s="182">
        <v>0</v>
      </c>
      <c r="W54" s="234">
        <v>1</v>
      </c>
      <c r="X54" s="99"/>
      <c r="Y54" s="100"/>
    </row>
    <row r="55" spans="1:25" ht="45">
      <c r="A55" s="91">
        <v>52</v>
      </c>
      <c r="B55" s="110" t="s">
        <v>170</v>
      </c>
      <c r="C55" s="15" t="s">
        <v>171</v>
      </c>
      <c r="D55" s="93" t="s">
        <v>28</v>
      </c>
      <c r="E55" s="94" t="s">
        <v>28</v>
      </c>
      <c r="F55" s="15" t="s">
        <v>166</v>
      </c>
      <c r="G55" s="107" t="s">
        <v>30</v>
      </c>
      <c r="H55" s="38">
        <f>0.3048*(300+26)</f>
        <v>99.364800000000002</v>
      </c>
      <c r="I55" s="55">
        <v>1000000</v>
      </c>
      <c r="J55" s="96" t="s">
        <v>31</v>
      </c>
      <c r="K55" s="15"/>
      <c r="L55" s="54"/>
      <c r="M55" s="38"/>
      <c r="N55" s="115">
        <v>1</v>
      </c>
      <c r="O55" s="115"/>
      <c r="P55" s="102"/>
      <c r="Q55" s="102"/>
      <c r="R55" s="115"/>
      <c r="S55" s="116"/>
      <c r="T55" s="97"/>
      <c r="U55" s="97"/>
      <c r="V55" s="97"/>
      <c r="W55" s="116"/>
      <c r="X55" s="99"/>
      <c r="Y55" s="100"/>
    </row>
    <row r="56" spans="1:25" ht="60">
      <c r="A56" s="91">
        <v>53</v>
      </c>
      <c r="B56" s="110" t="s">
        <v>172</v>
      </c>
      <c r="C56" s="15" t="s">
        <v>173</v>
      </c>
      <c r="D56" s="93" t="s">
        <v>28</v>
      </c>
      <c r="E56" s="94" t="s">
        <v>28</v>
      </c>
      <c r="F56" s="15" t="s">
        <v>166</v>
      </c>
      <c r="G56" s="107" t="s">
        <v>30</v>
      </c>
      <c r="H56" s="238">
        <f>0.3048*242</f>
        <v>73.761600000000001</v>
      </c>
      <c r="I56" s="114">
        <v>500000</v>
      </c>
      <c r="J56" s="96" t="s">
        <v>31</v>
      </c>
      <c r="K56" s="68" t="s">
        <v>167</v>
      </c>
      <c r="L56" s="54">
        <v>485000</v>
      </c>
      <c r="M56" s="194">
        <f t="shared" ref="M56:M57" si="8">L56/(I56-I56*3%)</f>
        <v>1</v>
      </c>
      <c r="N56" s="233" t="s">
        <v>107</v>
      </c>
      <c r="O56" s="233" t="s">
        <v>107</v>
      </c>
      <c r="P56" s="233" t="s">
        <v>107</v>
      </c>
      <c r="Q56" s="233" t="s">
        <v>107</v>
      </c>
      <c r="R56" s="233" t="s">
        <v>107</v>
      </c>
      <c r="S56" s="233" t="s">
        <v>107</v>
      </c>
      <c r="T56" s="233" t="s">
        <v>107</v>
      </c>
      <c r="U56" s="233">
        <f t="shared" ref="U56:V57" si="9">-U57</f>
        <v>0</v>
      </c>
      <c r="V56" s="233">
        <f t="shared" si="9"/>
        <v>0</v>
      </c>
      <c r="W56" s="234">
        <v>1</v>
      </c>
      <c r="X56" s="99"/>
      <c r="Y56" s="100"/>
    </row>
    <row r="57" spans="1:25" ht="45">
      <c r="A57" s="91">
        <v>54</v>
      </c>
      <c r="B57" s="110" t="s">
        <v>174</v>
      </c>
      <c r="C57" s="15" t="s">
        <v>175</v>
      </c>
      <c r="D57" s="93" t="s">
        <v>28</v>
      </c>
      <c r="E57" s="94" t="s">
        <v>28</v>
      </c>
      <c r="F57" s="15" t="s">
        <v>166</v>
      </c>
      <c r="G57" s="107" t="s">
        <v>30</v>
      </c>
      <c r="H57" s="238">
        <f>0.3048*201</f>
        <v>61.264800000000001</v>
      </c>
      <c r="I57" s="114">
        <v>500000</v>
      </c>
      <c r="J57" s="96" t="s">
        <v>31</v>
      </c>
      <c r="K57" s="68" t="s">
        <v>167</v>
      </c>
      <c r="L57" s="54">
        <v>485000</v>
      </c>
      <c r="M57" s="194">
        <f t="shared" si="8"/>
        <v>1</v>
      </c>
      <c r="N57" s="233" t="s">
        <v>107</v>
      </c>
      <c r="O57" s="233" t="s">
        <v>107</v>
      </c>
      <c r="P57" s="233" t="s">
        <v>107</v>
      </c>
      <c r="Q57" s="233" t="s">
        <v>107</v>
      </c>
      <c r="R57" s="233" t="s">
        <v>107</v>
      </c>
      <c r="S57" s="233" t="s">
        <v>107</v>
      </c>
      <c r="T57" s="233" t="s">
        <v>107</v>
      </c>
      <c r="U57" s="233">
        <f t="shared" si="9"/>
        <v>0</v>
      </c>
      <c r="V57" s="233">
        <f t="shared" si="9"/>
        <v>0</v>
      </c>
      <c r="W57" s="234">
        <v>1</v>
      </c>
      <c r="X57" s="99"/>
      <c r="Y57" s="100"/>
    </row>
    <row r="58" spans="1:25" s="59" customFormat="1" ht="30">
      <c r="A58" s="120">
        <v>55</v>
      </c>
      <c r="B58" s="121" t="s">
        <v>176</v>
      </c>
      <c r="C58" s="57" t="s">
        <v>177</v>
      </c>
      <c r="D58" s="122" t="s">
        <v>28</v>
      </c>
      <c r="E58" s="123" t="s">
        <v>28</v>
      </c>
      <c r="F58" s="57" t="s">
        <v>178</v>
      </c>
      <c r="G58" s="126" t="s">
        <v>30</v>
      </c>
      <c r="H58" s="239">
        <f>0.3048*102</f>
        <v>31.089600000000001</v>
      </c>
      <c r="I58" s="240">
        <v>300000</v>
      </c>
      <c r="J58" s="126" t="s">
        <v>31</v>
      </c>
      <c r="K58" s="57"/>
      <c r="L58" s="56"/>
      <c r="M58" s="58"/>
      <c r="N58" s="115" t="s">
        <v>107</v>
      </c>
      <c r="O58" s="115" t="s">
        <v>107</v>
      </c>
      <c r="P58" s="115" t="s">
        <v>107</v>
      </c>
      <c r="Q58" s="115" t="s">
        <v>107</v>
      </c>
      <c r="R58" s="115" t="s">
        <v>107</v>
      </c>
      <c r="S58" s="234">
        <v>1</v>
      </c>
      <c r="T58" s="60"/>
      <c r="U58" s="60"/>
      <c r="V58" s="60"/>
      <c r="W58" s="129"/>
      <c r="X58" s="60"/>
      <c r="Y58" s="61"/>
    </row>
    <row r="59" spans="1:25" ht="30">
      <c r="A59" s="91">
        <v>56</v>
      </c>
      <c r="B59" s="110" t="s">
        <v>179</v>
      </c>
      <c r="C59" s="15" t="s">
        <v>180</v>
      </c>
      <c r="D59" s="93" t="s">
        <v>28</v>
      </c>
      <c r="E59" s="94" t="s">
        <v>28</v>
      </c>
      <c r="F59" s="15" t="s">
        <v>178</v>
      </c>
      <c r="G59" s="107" t="s">
        <v>30</v>
      </c>
      <c r="H59" s="38"/>
      <c r="I59" s="31">
        <v>200000</v>
      </c>
      <c r="J59" s="96" t="s">
        <v>31</v>
      </c>
      <c r="K59" s="15"/>
      <c r="L59" s="54"/>
      <c r="M59" s="38"/>
      <c r="N59" s="115" t="s">
        <v>107</v>
      </c>
      <c r="O59" s="115" t="s">
        <v>107</v>
      </c>
      <c r="P59" s="115" t="s">
        <v>107</v>
      </c>
      <c r="Q59" s="115" t="s">
        <v>107</v>
      </c>
      <c r="R59" s="115" t="s">
        <v>107</v>
      </c>
      <c r="S59" s="234">
        <v>1</v>
      </c>
      <c r="T59" s="99"/>
      <c r="U59" s="99"/>
      <c r="V59" s="99"/>
      <c r="W59" s="116"/>
      <c r="X59" s="99"/>
      <c r="Y59" s="100"/>
    </row>
    <row r="60" spans="1:25" ht="30">
      <c r="A60" s="91">
        <v>57</v>
      </c>
      <c r="B60" s="110" t="s">
        <v>181</v>
      </c>
      <c r="C60" s="15" t="s">
        <v>182</v>
      </c>
      <c r="D60" s="93" t="s">
        <v>28</v>
      </c>
      <c r="E60" s="94" t="s">
        <v>28</v>
      </c>
      <c r="F60" s="15" t="s">
        <v>183</v>
      </c>
      <c r="G60" s="107" t="s">
        <v>30</v>
      </c>
      <c r="H60" s="33">
        <f>0.3048*96</f>
        <v>29.260800000000003</v>
      </c>
      <c r="I60" s="31">
        <v>275000</v>
      </c>
      <c r="J60" s="96" t="s">
        <v>31</v>
      </c>
      <c r="K60" s="15"/>
      <c r="L60" s="54"/>
      <c r="M60" s="38"/>
      <c r="N60" s="233" t="s">
        <v>107</v>
      </c>
      <c r="O60" s="233" t="s">
        <v>107</v>
      </c>
      <c r="P60" s="233" t="s">
        <v>107</v>
      </c>
      <c r="Q60" s="233" t="s">
        <v>107</v>
      </c>
      <c r="R60" s="233" t="s">
        <v>107</v>
      </c>
      <c r="S60" s="233" t="s">
        <v>107</v>
      </c>
      <c r="T60" s="233" t="s">
        <v>107</v>
      </c>
      <c r="U60" s="233">
        <f t="shared" ref="U60:V60" si="10">-U61</f>
        <v>0</v>
      </c>
      <c r="V60" s="233">
        <f t="shared" si="10"/>
        <v>0</v>
      </c>
      <c r="W60" s="234">
        <v>1</v>
      </c>
      <c r="X60" s="99"/>
      <c r="Y60" s="100"/>
    </row>
    <row r="61" spans="1:25" ht="45">
      <c r="A61" s="91">
        <v>58</v>
      </c>
      <c r="B61" s="110" t="s">
        <v>184</v>
      </c>
      <c r="C61" s="15" t="s">
        <v>185</v>
      </c>
      <c r="D61" s="93" t="s">
        <v>28</v>
      </c>
      <c r="E61" s="94" t="s">
        <v>28</v>
      </c>
      <c r="F61" s="15" t="s">
        <v>183</v>
      </c>
      <c r="G61" s="107" t="s">
        <v>30</v>
      </c>
      <c r="H61" s="33">
        <f>0.3048*123</f>
        <v>37.490400000000001</v>
      </c>
      <c r="I61" s="31">
        <v>500000</v>
      </c>
      <c r="J61" s="96" t="s">
        <v>31</v>
      </c>
      <c r="K61" s="15" t="s">
        <v>186</v>
      </c>
      <c r="L61" s="54">
        <v>485000</v>
      </c>
      <c r="M61" s="194">
        <f>L61/(I61-I61*3%)</f>
        <v>1</v>
      </c>
      <c r="N61" s="233" t="s">
        <v>107</v>
      </c>
      <c r="O61" s="233" t="s">
        <v>107</v>
      </c>
      <c r="P61" s="233" t="s">
        <v>107</v>
      </c>
      <c r="Q61" s="233" t="s">
        <v>107</v>
      </c>
      <c r="R61" s="233" t="s">
        <v>107</v>
      </c>
      <c r="S61" s="233" t="s">
        <v>107</v>
      </c>
      <c r="T61" s="233" t="s">
        <v>107</v>
      </c>
      <c r="U61" s="233">
        <f>-U62</f>
        <v>0</v>
      </c>
      <c r="V61" s="233">
        <f>-V62</f>
        <v>0</v>
      </c>
      <c r="W61" s="234">
        <v>1</v>
      </c>
      <c r="X61" s="99"/>
      <c r="Y61" s="100"/>
    </row>
    <row r="62" spans="1:25" s="59" customFormat="1" ht="30">
      <c r="A62" s="120">
        <v>59</v>
      </c>
      <c r="B62" s="121" t="s">
        <v>187</v>
      </c>
      <c r="C62" s="57" t="s">
        <v>188</v>
      </c>
      <c r="D62" s="122" t="s">
        <v>28</v>
      </c>
      <c r="E62" s="123" t="s">
        <v>28</v>
      </c>
      <c r="F62" s="57" t="s">
        <v>183</v>
      </c>
      <c r="G62" s="124" t="s">
        <v>30</v>
      </c>
      <c r="H62" s="58"/>
      <c r="I62" s="240">
        <v>400000</v>
      </c>
      <c r="J62" s="126" t="s">
        <v>31</v>
      </c>
      <c r="K62" s="57"/>
      <c r="L62" s="56"/>
      <c r="M62" s="58"/>
      <c r="N62" s="233" t="s">
        <v>107</v>
      </c>
      <c r="O62" s="233" t="s">
        <v>107</v>
      </c>
      <c r="P62" s="233" t="s">
        <v>107</v>
      </c>
      <c r="Q62" s="233" t="s">
        <v>107</v>
      </c>
      <c r="R62" s="233" t="s">
        <v>107</v>
      </c>
      <c r="S62" s="233" t="s">
        <v>107</v>
      </c>
      <c r="T62" s="233" t="s">
        <v>107</v>
      </c>
      <c r="U62" s="233">
        <f t="shared" ref="U62:V71" si="11">-U63</f>
        <v>0</v>
      </c>
      <c r="V62" s="233">
        <f t="shared" si="11"/>
        <v>0</v>
      </c>
      <c r="W62" s="234">
        <v>1</v>
      </c>
      <c r="X62" s="60"/>
      <c r="Y62" s="61"/>
    </row>
    <row r="63" spans="1:25" s="51" customFormat="1" ht="60">
      <c r="A63" s="39" t="s">
        <v>189</v>
      </c>
      <c r="B63" s="40" t="s">
        <v>190</v>
      </c>
      <c r="C63" s="18" t="s">
        <v>191</v>
      </c>
      <c r="D63" s="41" t="s">
        <v>28</v>
      </c>
      <c r="E63" s="42" t="s">
        <v>28</v>
      </c>
      <c r="F63" s="18" t="s">
        <v>192</v>
      </c>
      <c r="G63" s="43" t="s">
        <v>30</v>
      </c>
      <c r="H63" s="33">
        <f>0.3048*352</f>
        <v>107.28960000000001</v>
      </c>
      <c r="I63" s="45">
        <v>1000000</v>
      </c>
      <c r="J63" s="21" t="s">
        <v>31</v>
      </c>
      <c r="K63" s="18" t="s">
        <v>193</v>
      </c>
      <c r="L63" s="53"/>
      <c r="M63" s="22"/>
      <c r="N63" s="233" t="s">
        <v>107</v>
      </c>
      <c r="O63" s="233" t="s">
        <v>107</v>
      </c>
      <c r="P63" s="233" t="s">
        <v>107</v>
      </c>
      <c r="Q63" s="233" t="s">
        <v>107</v>
      </c>
      <c r="R63" s="233" t="s">
        <v>107</v>
      </c>
      <c r="S63" s="233" t="s">
        <v>107</v>
      </c>
      <c r="T63" s="233" t="s">
        <v>107</v>
      </c>
      <c r="U63" s="233">
        <f t="shared" si="11"/>
        <v>0</v>
      </c>
      <c r="V63" s="233">
        <f t="shared" si="11"/>
        <v>0</v>
      </c>
      <c r="W63" s="234">
        <v>1</v>
      </c>
      <c r="X63" s="49"/>
      <c r="Y63" s="50"/>
    </row>
    <row r="64" spans="1:25" ht="30">
      <c r="A64" s="91">
        <v>61</v>
      </c>
      <c r="B64" s="110" t="s">
        <v>194</v>
      </c>
      <c r="C64" s="15" t="s">
        <v>195</v>
      </c>
      <c r="D64" s="93" t="s">
        <v>28</v>
      </c>
      <c r="E64" s="94" t="s">
        <v>28</v>
      </c>
      <c r="F64" s="68" t="s">
        <v>196</v>
      </c>
      <c r="G64" s="107" t="s">
        <v>30</v>
      </c>
      <c r="H64" s="33">
        <f>0.3048*183</f>
        <v>55.778400000000005</v>
      </c>
      <c r="I64" s="31">
        <v>500000</v>
      </c>
      <c r="J64" s="96" t="s">
        <v>31</v>
      </c>
      <c r="K64" s="68" t="s">
        <v>197</v>
      </c>
      <c r="L64" s="54">
        <v>462401.75</v>
      </c>
      <c r="M64" s="38"/>
      <c r="N64" s="233" t="s">
        <v>107</v>
      </c>
      <c r="O64" s="233" t="s">
        <v>107</v>
      </c>
      <c r="P64" s="233" t="s">
        <v>107</v>
      </c>
      <c r="Q64" s="233" t="s">
        <v>107</v>
      </c>
      <c r="R64" s="233" t="s">
        <v>107</v>
      </c>
      <c r="S64" s="233" t="s">
        <v>107</v>
      </c>
      <c r="T64" s="233" t="s">
        <v>107</v>
      </c>
      <c r="U64" s="233">
        <f t="shared" si="11"/>
        <v>0</v>
      </c>
      <c r="V64" s="233">
        <f t="shared" si="11"/>
        <v>0</v>
      </c>
      <c r="W64" s="234">
        <v>1</v>
      </c>
      <c r="X64" s="99"/>
      <c r="Y64" s="100"/>
    </row>
    <row r="65" spans="1:25" ht="45">
      <c r="A65" s="91">
        <v>62</v>
      </c>
      <c r="B65" s="110" t="s">
        <v>198</v>
      </c>
      <c r="C65" s="15" t="s">
        <v>199</v>
      </c>
      <c r="D65" s="93" t="s">
        <v>28</v>
      </c>
      <c r="E65" s="94" t="s">
        <v>28</v>
      </c>
      <c r="F65" s="68" t="s">
        <v>196</v>
      </c>
      <c r="G65" s="107" t="s">
        <v>30</v>
      </c>
      <c r="H65" s="38">
        <f>0.3048*126</f>
        <v>38.404800000000002</v>
      </c>
      <c r="I65" s="31">
        <v>300000</v>
      </c>
      <c r="J65" s="96" t="s">
        <v>31</v>
      </c>
      <c r="K65" s="68" t="s">
        <v>200</v>
      </c>
      <c r="L65" s="54">
        <f>291000</f>
        <v>291000</v>
      </c>
      <c r="M65" s="194">
        <f t="shared" ref="M65:M67" si="12">L65/(I65-I65*3%)</f>
        <v>1</v>
      </c>
      <c r="N65" s="233" t="s">
        <v>107</v>
      </c>
      <c r="O65" s="233" t="s">
        <v>107</v>
      </c>
      <c r="P65" s="233" t="s">
        <v>107</v>
      </c>
      <c r="Q65" s="233" t="s">
        <v>107</v>
      </c>
      <c r="R65" s="233" t="s">
        <v>107</v>
      </c>
      <c r="S65" s="233" t="s">
        <v>107</v>
      </c>
      <c r="T65" s="233" t="s">
        <v>107</v>
      </c>
      <c r="U65" s="233">
        <f t="shared" si="11"/>
        <v>0</v>
      </c>
      <c r="V65" s="233">
        <f t="shared" si="11"/>
        <v>0</v>
      </c>
      <c r="W65" s="234">
        <v>1</v>
      </c>
      <c r="X65" s="99"/>
      <c r="Y65" s="100"/>
    </row>
    <row r="66" spans="1:25" ht="45">
      <c r="A66" s="91">
        <v>63</v>
      </c>
      <c r="B66" s="110" t="s">
        <v>201</v>
      </c>
      <c r="C66" s="15" t="s">
        <v>202</v>
      </c>
      <c r="D66" s="93" t="s">
        <v>28</v>
      </c>
      <c r="E66" s="94" t="s">
        <v>28</v>
      </c>
      <c r="F66" s="68" t="s">
        <v>196</v>
      </c>
      <c r="G66" s="107" t="s">
        <v>30</v>
      </c>
      <c r="H66" s="38">
        <f>0.3048*53</f>
        <v>16.154400000000003</v>
      </c>
      <c r="I66" s="31">
        <v>200000</v>
      </c>
      <c r="J66" s="96" t="s">
        <v>31</v>
      </c>
      <c r="K66" s="68" t="s">
        <v>200</v>
      </c>
      <c r="L66" s="54">
        <v>190756.53</v>
      </c>
      <c r="M66" s="194">
        <f t="shared" si="12"/>
        <v>0.98328108247422685</v>
      </c>
      <c r="N66" s="233" t="s">
        <v>107</v>
      </c>
      <c r="O66" s="233" t="s">
        <v>107</v>
      </c>
      <c r="P66" s="233" t="s">
        <v>107</v>
      </c>
      <c r="Q66" s="233" t="s">
        <v>107</v>
      </c>
      <c r="R66" s="233" t="s">
        <v>107</v>
      </c>
      <c r="S66" s="233" t="s">
        <v>107</v>
      </c>
      <c r="T66" s="233" t="s">
        <v>107</v>
      </c>
      <c r="U66" s="233">
        <f t="shared" si="11"/>
        <v>0</v>
      </c>
      <c r="V66" s="233">
        <f t="shared" si="11"/>
        <v>0</v>
      </c>
      <c r="W66" s="234">
        <v>1</v>
      </c>
      <c r="X66" s="99"/>
      <c r="Y66" s="100"/>
    </row>
    <row r="67" spans="1:25" s="59" customFormat="1" ht="45">
      <c r="A67" s="120">
        <v>64</v>
      </c>
      <c r="B67" s="121" t="s">
        <v>203</v>
      </c>
      <c r="C67" s="57" t="s">
        <v>204</v>
      </c>
      <c r="D67" s="122" t="s">
        <v>28</v>
      </c>
      <c r="E67" s="123" t="s">
        <v>28</v>
      </c>
      <c r="F67" s="57" t="s">
        <v>196</v>
      </c>
      <c r="G67" s="124" t="s">
        <v>30</v>
      </c>
      <c r="H67" s="58">
        <f>0.3048*48</f>
        <v>14.630400000000002</v>
      </c>
      <c r="I67" s="240">
        <v>150000</v>
      </c>
      <c r="J67" s="126" t="s">
        <v>31</v>
      </c>
      <c r="K67" s="57" t="s">
        <v>200</v>
      </c>
      <c r="L67" s="56">
        <f>145500</f>
        <v>145500</v>
      </c>
      <c r="M67" s="194">
        <f t="shared" si="12"/>
        <v>1</v>
      </c>
      <c r="N67" s="233" t="s">
        <v>107</v>
      </c>
      <c r="O67" s="233" t="s">
        <v>107</v>
      </c>
      <c r="P67" s="233" t="s">
        <v>107</v>
      </c>
      <c r="Q67" s="233" t="s">
        <v>107</v>
      </c>
      <c r="R67" s="233" t="s">
        <v>107</v>
      </c>
      <c r="S67" s="233" t="s">
        <v>107</v>
      </c>
      <c r="T67" s="233" t="s">
        <v>107</v>
      </c>
      <c r="U67" s="233">
        <f t="shared" si="11"/>
        <v>0</v>
      </c>
      <c r="V67" s="233">
        <f t="shared" si="11"/>
        <v>0</v>
      </c>
      <c r="W67" s="234">
        <v>1</v>
      </c>
      <c r="X67" s="60"/>
      <c r="Y67" s="61"/>
    </row>
    <row r="68" spans="1:25" ht="45">
      <c r="A68" s="91">
        <v>65</v>
      </c>
      <c r="B68" s="110" t="s">
        <v>205</v>
      </c>
      <c r="C68" s="15" t="s">
        <v>206</v>
      </c>
      <c r="D68" s="93" t="s">
        <v>28</v>
      </c>
      <c r="E68" s="94" t="s">
        <v>28</v>
      </c>
      <c r="F68" s="68" t="s">
        <v>196</v>
      </c>
      <c r="G68" s="107" t="s">
        <v>30</v>
      </c>
      <c r="H68" s="38">
        <f>0.3048*48</f>
        <v>14.630400000000002</v>
      </c>
      <c r="I68" s="31">
        <v>150000</v>
      </c>
      <c r="J68" s="96" t="s">
        <v>31</v>
      </c>
      <c r="K68" s="68" t="s">
        <v>200</v>
      </c>
      <c r="L68" s="54"/>
      <c r="M68" s="38"/>
      <c r="N68" s="233" t="s">
        <v>107</v>
      </c>
      <c r="O68" s="233" t="s">
        <v>107</v>
      </c>
      <c r="P68" s="233" t="s">
        <v>107</v>
      </c>
      <c r="Q68" s="233" t="s">
        <v>107</v>
      </c>
      <c r="R68" s="233" t="s">
        <v>107</v>
      </c>
      <c r="S68" s="233" t="s">
        <v>107</v>
      </c>
      <c r="T68" s="233" t="s">
        <v>107</v>
      </c>
      <c r="U68" s="233">
        <f t="shared" si="11"/>
        <v>0</v>
      </c>
      <c r="V68" s="233">
        <f t="shared" si="11"/>
        <v>0</v>
      </c>
      <c r="W68" s="234">
        <v>1</v>
      </c>
      <c r="X68" s="99"/>
      <c r="Y68" s="100"/>
    </row>
    <row r="69" spans="1:25" ht="45">
      <c r="A69" s="91">
        <v>66</v>
      </c>
      <c r="B69" s="110" t="s">
        <v>207</v>
      </c>
      <c r="C69" s="15" t="s">
        <v>208</v>
      </c>
      <c r="D69" s="93" t="s">
        <v>28</v>
      </c>
      <c r="E69" s="94" t="s">
        <v>28</v>
      </c>
      <c r="F69" s="68" t="s">
        <v>196</v>
      </c>
      <c r="G69" s="107" t="s">
        <v>30</v>
      </c>
      <c r="H69" s="38">
        <f>0.3048*53</f>
        <v>16.154400000000003</v>
      </c>
      <c r="I69" s="31">
        <v>200000</v>
      </c>
      <c r="J69" s="96" t="s">
        <v>31</v>
      </c>
      <c r="K69" s="68" t="s">
        <v>200</v>
      </c>
      <c r="L69" s="54">
        <f>194000</f>
        <v>194000</v>
      </c>
      <c r="M69" s="194">
        <f>L69/(I69-I69*3%)</f>
        <v>1</v>
      </c>
      <c r="N69" s="233" t="s">
        <v>107</v>
      </c>
      <c r="O69" s="233" t="s">
        <v>107</v>
      </c>
      <c r="P69" s="233" t="s">
        <v>107</v>
      </c>
      <c r="Q69" s="233" t="s">
        <v>107</v>
      </c>
      <c r="R69" s="233" t="s">
        <v>107</v>
      </c>
      <c r="S69" s="233" t="s">
        <v>107</v>
      </c>
      <c r="T69" s="233" t="s">
        <v>107</v>
      </c>
      <c r="U69" s="233">
        <f t="shared" si="11"/>
        <v>0</v>
      </c>
      <c r="V69" s="233">
        <f t="shared" si="11"/>
        <v>0</v>
      </c>
      <c r="W69" s="234">
        <v>1</v>
      </c>
      <c r="X69" s="99"/>
      <c r="Y69" s="100"/>
    </row>
    <row r="70" spans="1:25" ht="30">
      <c r="A70" s="91">
        <v>67</v>
      </c>
      <c r="B70" s="110" t="s">
        <v>209</v>
      </c>
      <c r="C70" s="15" t="s">
        <v>210</v>
      </c>
      <c r="D70" s="93" t="s">
        <v>28</v>
      </c>
      <c r="E70" s="94" t="s">
        <v>28</v>
      </c>
      <c r="F70" s="15" t="s">
        <v>211</v>
      </c>
      <c r="G70" s="107" t="s">
        <v>30</v>
      </c>
      <c r="H70" s="33">
        <f>0.3048*136</f>
        <v>41.452800000000003</v>
      </c>
      <c r="I70" s="31">
        <v>500000</v>
      </c>
      <c r="J70" s="96" t="s">
        <v>31</v>
      </c>
      <c r="K70" s="68" t="s">
        <v>212</v>
      </c>
      <c r="L70" s="54"/>
      <c r="M70" s="38"/>
      <c r="N70" s="233" t="s">
        <v>107</v>
      </c>
      <c r="O70" s="233" t="s">
        <v>107</v>
      </c>
      <c r="P70" s="233" t="s">
        <v>107</v>
      </c>
      <c r="Q70" s="233" t="s">
        <v>107</v>
      </c>
      <c r="R70" s="233" t="s">
        <v>107</v>
      </c>
      <c r="S70" s="233" t="s">
        <v>107</v>
      </c>
      <c r="T70" s="233" t="s">
        <v>107</v>
      </c>
      <c r="U70" s="233">
        <f t="shared" si="11"/>
        <v>0</v>
      </c>
      <c r="V70" s="233">
        <f t="shared" si="11"/>
        <v>0</v>
      </c>
      <c r="W70" s="234">
        <v>1</v>
      </c>
      <c r="X70" s="99"/>
      <c r="Y70" s="100"/>
    </row>
    <row r="71" spans="1:25" ht="30">
      <c r="A71" s="91">
        <v>68</v>
      </c>
      <c r="B71" s="110" t="s">
        <v>213</v>
      </c>
      <c r="C71" s="15" t="s">
        <v>214</v>
      </c>
      <c r="D71" s="93" t="s">
        <v>28</v>
      </c>
      <c r="E71" s="94" t="s">
        <v>28</v>
      </c>
      <c r="F71" s="15" t="s">
        <v>211</v>
      </c>
      <c r="G71" s="107" t="s">
        <v>30</v>
      </c>
      <c r="H71" s="33">
        <f>0.3048*157</f>
        <v>47.8536</v>
      </c>
      <c r="I71" s="31">
        <v>500000</v>
      </c>
      <c r="J71" s="96" t="s">
        <v>31</v>
      </c>
      <c r="K71" s="15"/>
      <c r="L71" s="54"/>
      <c r="M71" s="38"/>
      <c r="N71" s="233" t="s">
        <v>107</v>
      </c>
      <c r="O71" s="233" t="s">
        <v>107</v>
      </c>
      <c r="P71" s="233" t="s">
        <v>107</v>
      </c>
      <c r="Q71" s="233" t="s">
        <v>107</v>
      </c>
      <c r="R71" s="233" t="s">
        <v>107</v>
      </c>
      <c r="S71" s="233" t="s">
        <v>107</v>
      </c>
      <c r="T71" s="233" t="s">
        <v>107</v>
      </c>
      <c r="U71" s="233">
        <f t="shared" si="11"/>
        <v>0</v>
      </c>
      <c r="V71" s="233">
        <f t="shared" si="11"/>
        <v>0</v>
      </c>
      <c r="W71" s="234">
        <v>1</v>
      </c>
      <c r="X71" s="99"/>
      <c r="Y71" s="100"/>
    </row>
    <row r="72" spans="1:25" ht="30">
      <c r="A72" s="91">
        <v>69</v>
      </c>
      <c r="B72" s="110" t="s">
        <v>215</v>
      </c>
      <c r="C72" s="15" t="s">
        <v>216</v>
      </c>
      <c r="D72" s="93" t="s">
        <v>28</v>
      </c>
      <c r="E72" s="94" t="s">
        <v>28</v>
      </c>
      <c r="F72" s="15" t="s">
        <v>211</v>
      </c>
      <c r="G72" s="107" t="s">
        <v>30</v>
      </c>
      <c r="H72" s="33">
        <f>0.3048*188</f>
        <v>57.302400000000006</v>
      </c>
      <c r="I72" s="31">
        <v>500000</v>
      </c>
      <c r="J72" s="96" t="s">
        <v>31</v>
      </c>
      <c r="K72" s="15"/>
      <c r="L72" s="54"/>
      <c r="M72" s="38"/>
      <c r="N72" s="116">
        <v>0</v>
      </c>
      <c r="O72" s="116">
        <v>0</v>
      </c>
      <c r="P72" s="116">
        <v>0</v>
      </c>
      <c r="Q72" s="116">
        <v>0</v>
      </c>
      <c r="R72" s="115">
        <v>1</v>
      </c>
      <c r="S72" s="116"/>
      <c r="T72" s="99"/>
      <c r="U72" s="99"/>
      <c r="V72" s="99"/>
      <c r="W72" s="116"/>
      <c r="X72" s="99"/>
      <c r="Y72" s="100"/>
    </row>
    <row r="73" spans="1:25" ht="30">
      <c r="A73" s="91">
        <v>70</v>
      </c>
      <c r="B73" s="110" t="s">
        <v>217</v>
      </c>
      <c r="C73" s="15" t="s">
        <v>218</v>
      </c>
      <c r="D73" s="93" t="s">
        <v>28</v>
      </c>
      <c r="E73" s="94" t="s">
        <v>28</v>
      </c>
      <c r="F73" s="15" t="s">
        <v>211</v>
      </c>
      <c r="G73" s="134" t="s">
        <v>30</v>
      </c>
      <c r="H73" s="33">
        <f>0.3048*86</f>
        <v>26.212800000000001</v>
      </c>
      <c r="I73" s="31">
        <v>200000</v>
      </c>
      <c r="J73" s="96" t="s">
        <v>31</v>
      </c>
      <c r="K73" s="15"/>
      <c r="L73" s="54"/>
      <c r="M73" s="38"/>
      <c r="N73" s="233" t="s">
        <v>107</v>
      </c>
      <c r="O73" s="233" t="s">
        <v>107</v>
      </c>
      <c r="P73" s="233" t="s">
        <v>107</v>
      </c>
      <c r="Q73" s="233" t="s">
        <v>107</v>
      </c>
      <c r="R73" s="233" t="s">
        <v>107</v>
      </c>
      <c r="S73" s="233" t="s">
        <v>107</v>
      </c>
      <c r="T73" s="233" t="s">
        <v>107</v>
      </c>
      <c r="U73" s="233">
        <f t="shared" ref="U73:V74" si="13">-U74</f>
        <v>0</v>
      </c>
      <c r="V73" s="233">
        <f t="shared" si="13"/>
        <v>0</v>
      </c>
      <c r="W73" s="234">
        <v>1</v>
      </c>
      <c r="X73" s="99"/>
      <c r="Y73" s="100"/>
    </row>
    <row r="74" spans="1:25" ht="42.75">
      <c r="A74" s="91">
        <v>71</v>
      </c>
      <c r="B74" s="110" t="s">
        <v>219</v>
      </c>
      <c r="C74" s="15" t="s">
        <v>110</v>
      </c>
      <c r="D74" s="93" t="s">
        <v>28</v>
      </c>
      <c r="E74" s="94" t="s">
        <v>28</v>
      </c>
      <c r="F74" s="15" t="s">
        <v>211</v>
      </c>
      <c r="G74" s="134" t="s">
        <v>30</v>
      </c>
      <c r="H74" s="33">
        <f>0.3048*131</f>
        <v>39.928800000000003</v>
      </c>
      <c r="I74" s="31">
        <v>300000</v>
      </c>
      <c r="J74" s="96" t="s">
        <v>31</v>
      </c>
      <c r="K74" s="15"/>
      <c r="L74" s="54"/>
      <c r="M74" s="38"/>
      <c r="N74" s="233" t="s">
        <v>107</v>
      </c>
      <c r="O74" s="233" t="s">
        <v>107</v>
      </c>
      <c r="P74" s="233" t="s">
        <v>107</v>
      </c>
      <c r="Q74" s="233" t="s">
        <v>107</v>
      </c>
      <c r="R74" s="233" t="s">
        <v>107</v>
      </c>
      <c r="S74" s="233" t="s">
        <v>107</v>
      </c>
      <c r="T74" s="233" t="s">
        <v>107</v>
      </c>
      <c r="U74" s="233">
        <f t="shared" si="13"/>
        <v>0</v>
      </c>
      <c r="V74" s="233">
        <f t="shared" si="13"/>
        <v>0</v>
      </c>
      <c r="W74" s="234">
        <v>1</v>
      </c>
      <c r="X74" s="99"/>
      <c r="Y74" s="100"/>
    </row>
    <row r="75" spans="1:25" s="63" customFormat="1" ht="45">
      <c r="A75" s="70">
        <v>72</v>
      </c>
      <c r="B75" s="71" t="s">
        <v>220</v>
      </c>
      <c r="C75" s="72" t="s">
        <v>221</v>
      </c>
      <c r="D75" s="73" t="s">
        <v>28</v>
      </c>
      <c r="E75" s="74" t="s">
        <v>28</v>
      </c>
      <c r="F75" s="72" t="s">
        <v>222</v>
      </c>
      <c r="G75" s="241" t="s">
        <v>30</v>
      </c>
      <c r="H75" s="62">
        <f>0.3048*167</f>
        <v>50.901600000000002</v>
      </c>
      <c r="I75" s="242">
        <v>500000</v>
      </c>
      <c r="J75" s="77" t="s">
        <v>31</v>
      </c>
      <c r="K75" s="72" t="s">
        <v>223</v>
      </c>
      <c r="L75" s="78"/>
      <c r="M75" s="62"/>
      <c r="N75" s="243">
        <v>0</v>
      </c>
      <c r="O75" s="243">
        <v>0</v>
      </c>
      <c r="P75" s="243">
        <v>0</v>
      </c>
      <c r="Q75" s="243">
        <v>0</v>
      </c>
      <c r="R75" s="115">
        <v>1</v>
      </c>
      <c r="S75" s="243"/>
      <c r="T75" s="79"/>
      <c r="U75" s="79"/>
      <c r="V75" s="79"/>
      <c r="W75" s="243"/>
      <c r="X75" s="79"/>
      <c r="Y75" s="80" t="s">
        <v>224</v>
      </c>
    </row>
    <row r="76" spans="1:25" ht="45">
      <c r="A76" s="91">
        <v>73</v>
      </c>
      <c r="B76" s="110" t="s">
        <v>225</v>
      </c>
      <c r="C76" s="15" t="s">
        <v>226</v>
      </c>
      <c r="D76" s="93" t="s">
        <v>28</v>
      </c>
      <c r="E76" s="94" t="s">
        <v>28</v>
      </c>
      <c r="F76" s="15" t="s">
        <v>222</v>
      </c>
      <c r="G76" s="134" t="s">
        <v>30</v>
      </c>
      <c r="H76" s="33">
        <f>0.3048*195</f>
        <v>59.436</v>
      </c>
      <c r="I76" s="31">
        <v>450000</v>
      </c>
      <c r="J76" s="96" t="s">
        <v>31</v>
      </c>
      <c r="K76" s="68" t="s">
        <v>227</v>
      </c>
      <c r="L76" s="54">
        <v>378300</v>
      </c>
      <c r="M76" s="38"/>
      <c r="N76" s="116">
        <v>0</v>
      </c>
      <c r="O76" s="116">
        <v>0</v>
      </c>
      <c r="P76" s="116">
        <v>0</v>
      </c>
      <c r="Q76" s="116">
        <v>0</v>
      </c>
      <c r="R76" s="116">
        <v>0</v>
      </c>
      <c r="S76" s="116">
        <v>0</v>
      </c>
      <c r="T76" s="116">
        <v>0</v>
      </c>
      <c r="U76" s="116">
        <v>0</v>
      </c>
      <c r="V76" s="116">
        <v>0</v>
      </c>
      <c r="W76" s="234">
        <v>1</v>
      </c>
      <c r="X76" s="99"/>
      <c r="Y76" s="100"/>
    </row>
    <row r="77" spans="1:25" ht="45">
      <c r="A77" s="91">
        <v>74</v>
      </c>
      <c r="B77" s="110" t="s">
        <v>228</v>
      </c>
      <c r="C77" s="15" t="s">
        <v>229</v>
      </c>
      <c r="D77" s="93" t="s">
        <v>28</v>
      </c>
      <c r="E77" s="94" t="s">
        <v>28</v>
      </c>
      <c r="F77" s="15" t="s">
        <v>222</v>
      </c>
      <c r="G77" s="134" t="s">
        <v>30</v>
      </c>
      <c r="H77" s="38">
        <f>0.3048*142</f>
        <v>43.281600000000005</v>
      </c>
      <c r="I77" s="31">
        <v>250000</v>
      </c>
      <c r="J77" s="96" t="s">
        <v>31</v>
      </c>
      <c r="K77" s="68" t="s">
        <v>223</v>
      </c>
      <c r="L77" s="54"/>
      <c r="M77" s="38"/>
      <c r="N77" s="116">
        <v>0</v>
      </c>
      <c r="O77" s="116">
        <v>0</v>
      </c>
      <c r="P77" s="116">
        <v>0</v>
      </c>
      <c r="Q77" s="116">
        <v>0</v>
      </c>
      <c r="R77" s="115">
        <v>1</v>
      </c>
      <c r="S77" s="116"/>
      <c r="T77" s="99"/>
      <c r="U77" s="99"/>
      <c r="V77" s="99"/>
      <c r="W77" s="116"/>
      <c r="X77" s="99"/>
      <c r="Y77" s="100"/>
    </row>
    <row r="78" spans="1:25" ht="45">
      <c r="A78" s="91">
        <v>75</v>
      </c>
      <c r="B78" s="110" t="s">
        <v>230</v>
      </c>
      <c r="C78" s="15" t="s">
        <v>231</v>
      </c>
      <c r="D78" s="93" t="s">
        <v>28</v>
      </c>
      <c r="E78" s="94" t="s">
        <v>28</v>
      </c>
      <c r="F78" s="15" t="s">
        <v>232</v>
      </c>
      <c r="G78" s="134" t="s">
        <v>30</v>
      </c>
      <c r="H78" s="38">
        <f>0.3048*163</f>
        <v>49.682400000000001</v>
      </c>
      <c r="I78" s="31">
        <v>650000</v>
      </c>
      <c r="J78" s="96" t="s">
        <v>31</v>
      </c>
      <c r="K78" s="15"/>
      <c r="L78" s="54">
        <v>630500</v>
      </c>
      <c r="M78" s="194">
        <f>L78/(I78-I78*3%)</f>
        <v>1</v>
      </c>
      <c r="N78" s="233" t="s">
        <v>107</v>
      </c>
      <c r="O78" s="233" t="s">
        <v>107</v>
      </c>
      <c r="P78" s="233" t="s">
        <v>107</v>
      </c>
      <c r="Q78" s="233" t="s">
        <v>107</v>
      </c>
      <c r="R78" s="233" t="s">
        <v>107</v>
      </c>
      <c r="S78" s="233" t="s">
        <v>107</v>
      </c>
      <c r="T78" s="233" t="s">
        <v>107</v>
      </c>
      <c r="U78" s="233" t="s">
        <v>107</v>
      </c>
      <c r="V78" s="233" t="s">
        <v>107</v>
      </c>
      <c r="W78" s="234">
        <v>1</v>
      </c>
      <c r="X78" s="99"/>
      <c r="Y78" s="100"/>
    </row>
    <row r="79" spans="1:25" ht="45">
      <c r="A79" s="91">
        <v>76</v>
      </c>
      <c r="B79" s="110" t="s">
        <v>233</v>
      </c>
      <c r="C79" s="15" t="s">
        <v>234</v>
      </c>
      <c r="D79" s="93" t="s">
        <v>28</v>
      </c>
      <c r="E79" s="94" t="s">
        <v>28</v>
      </c>
      <c r="F79" s="15" t="s">
        <v>232</v>
      </c>
      <c r="G79" s="134" t="s">
        <v>30</v>
      </c>
      <c r="H79" s="38">
        <f>0.3048*199</f>
        <v>60.655200000000001</v>
      </c>
      <c r="I79" s="31">
        <v>550000</v>
      </c>
      <c r="J79" s="96" t="s">
        <v>31</v>
      </c>
      <c r="K79" s="15"/>
      <c r="L79" s="54"/>
      <c r="M79" s="38"/>
      <c r="N79" s="233" t="s">
        <v>107</v>
      </c>
      <c r="O79" s="233" t="s">
        <v>107</v>
      </c>
      <c r="P79" s="233" t="s">
        <v>107</v>
      </c>
      <c r="Q79" s="233" t="s">
        <v>107</v>
      </c>
      <c r="R79" s="233" t="s">
        <v>107</v>
      </c>
      <c r="S79" s="233" t="s">
        <v>107</v>
      </c>
      <c r="T79" s="233" t="s">
        <v>107</v>
      </c>
      <c r="U79" s="233" t="s">
        <v>107</v>
      </c>
      <c r="V79" s="233" t="s">
        <v>107</v>
      </c>
      <c r="W79" s="234">
        <v>1</v>
      </c>
      <c r="X79" s="99"/>
      <c r="Y79" s="100"/>
    </row>
    <row r="80" spans="1:25" ht="30">
      <c r="A80" s="91">
        <v>77</v>
      </c>
      <c r="B80" s="110" t="s">
        <v>235</v>
      </c>
      <c r="C80" s="15" t="s">
        <v>236</v>
      </c>
      <c r="D80" s="93" t="s">
        <v>28</v>
      </c>
      <c r="E80" s="94" t="s">
        <v>28</v>
      </c>
      <c r="F80" s="68" t="s">
        <v>237</v>
      </c>
      <c r="G80" s="134" t="s">
        <v>30</v>
      </c>
      <c r="H80" s="38">
        <f>0.3048*150</f>
        <v>45.72</v>
      </c>
      <c r="I80" s="31">
        <v>500000</v>
      </c>
      <c r="J80" s="96" t="s">
        <v>31</v>
      </c>
      <c r="K80" s="15"/>
      <c r="L80" s="54"/>
      <c r="M80" s="38"/>
      <c r="N80" s="233" t="s">
        <v>107</v>
      </c>
      <c r="O80" s="233" t="s">
        <v>107</v>
      </c>
      <c r="P80" s="233" t="s">
        <v>107</v>
      </c>
      <c r="Q80" s="233" t="s">
        <v>107</v>
      </c>
      <c r="R80" s="233" t="s">
        <v>107</v>
      </c>
      <c r="S80" s="233" t="s">
        <v>107</v>
      </c>
      <c r="T80" s="233" t="s">
        <v>107</v>
      </c>
      <c r="U80" s="233" t="s">
        <v>107</v>
      </c>
      <c r="V80" s="233" t="s">
        <v>107</v>
      </c>
      <c r="W80" s="234">
        <v>1</v>
      </c>
      <c r="X80" s="99"/>
      <c r="Y80" s="100"/>
    </row>
    <row r="81" spans="1:25" ht="60">
      <c r="A81" s="91">
        <v>78</v>
      </c>
      <c r="B81" s="110" t="s">
        <v>238</v>
      </c>
      <c r="C81" s="15" t="s">
        <v>239</v>
      </c>
      <c r="D81" s="93" t="s">
        <v>28</v>
      </c>
      <c r="E81" s="94" t="s">
        <v>28</v>
      </c>
      <c r="F81" s="68" t="s">
        <v>237</v>
      </c>
      <c r="G81" s="134" t="s">
        <v>30</v>
      </c>
      <c r="H81" s="38">
        <f>0.3048*91</f>
        <v>27.736800000000002</v>
      </c>
      <c r="I81" s="31">
        <v>300000</v>
      </c>
      <c r="J81" s="96" t="s">
        <v>31</v>
      </c>
      <c r="K81" s="68" t="s">
        <v>240</v>
      </c>
      <c r="L81" s="54"/>
      <c r="M81" s="38"/>
      <c r="N81" s="233" t="s">
        <v>107</v>
      </c>
      <c r="O81" s="233" t="s">
        <v>107</v>
      </c>
      <c r="P81" s="233" t="s">
        <v>107</v>
      </c>
      <c r="Q81" s="233" t="s">
        <v>107</v>
      </c>
      <c r="R81" s="233" t="s">
        <v>107</v>
      </c>
      <c r="S81" s="233" t="s">
        <v>107</v>
      </c>
      <c r="T81" s="233" t="s">
        <v>107</v>
      </c>
      <c r="U81" s="233" t="s">
        <v>107</v>
      </c>
      <c r="V81" s="233" t="s">
        <v>107</v>
      </c>
      <c r="W81" s="234">
        <v>1</v>
      </c>
      <c r="X81" s="99"/>
      <c r="Y81" s="100"/>
    </row>
    <row r="82" spans="1:25" ht="45">
      <c r="A82" s="91">
        <v>79</v>
      </c>
      <c r="B82" s="110" t="s">
        <v>241</v>
      </c>
      <c r="C82" s="15" t="s">
        <v>242</v>
      </c>
      <c r="D82" s="93" t="s">
        <v>28</v>
      </c>
      <c r="E82" s="94" t="s">
        <v>28</v>
      </c>
      <c r="F82" s="68" t="s">
        <v>243</v>
      </c>
      <c r="G82" s="134" t="s">
        <v>30</v>
      </c>
      <c r="H82" s="38">
        <f>0.3048*129</f>
        <v>39.319200000000002</v>
      </c>
      <c r="I82" s="31">
        <v>500000</v>
      </c>
      <c r="J82" s="96" t="s">
        <v>31</v>
      </c>
      <c r="K82" s="15"/>
      <c r="L82" s="54"/>
      <c r="M82" s="38"/>
      <c r="N82" s="233" t="s">
        <v>107</v>
      </c>
      <c r="O82" s="233" t="s">
        <v>107</v>
      </c>
      <c r="P82" s="233" t="s">
        <v>107</v>
      </c>
      <c r="Q82" s="233" t="s">
        <v>107</v>
      </c>
      <c r="R82" s="233" t="s">
        <v>107</v>
      </c>
      <c r="S82" s="233" t="s">
        <v>107</v>
      </c>
      <c r="T82" s="233" t="s">
        <v>107</v>
      </c>
      <c r="U82" s="233" t="s">
        <v>107</v>
      </c>
      <c r="V82" s="233" t="s">
        <v>107</v>
      </c>
      <c r="W82" s="234" t="s">
        <v>244</v>
      </c>
      <c r="X82" s="99"/>
      <c r="Y82" s="100"/>
    </row>
    <row r="83" spans="1:25" s="51" customFormat="1" ht="45">
      <c r="A83" s="39" t="s">
        <v>245</v>
      </c>
      <c r="B83" s="40" t="s">
        <v>246</v>
      </c>
      <c r="C83" s="18" t="s">
        <v>247</v>
      </c>
      <c r="D83" s="41" t="s">
        <v>28</v>
      </c>
      <c r="E83" s="42" t="s">
        <v>28</v>
      </c>
      <c r="F83" s="18" t="s">
        <v>248</v>
      </c>
      <c r="G83" s="64" t="s">
        <v>30</v>
      </c>
      <c r="H83" s="22"/>
      <c r="I83" s="45">
        <v>250000</v>
      </c>
      <c r="J83" s="21" t="s">
        <v>31</v>
      </c>
      <c r="K83" s="18"/>
      <c r="L83" s="53"/>
      <c r="M83" s="22"/>
      <c r="N83" s="115" t="s">
        <v>107</v>
      </c>
      <c r="O83" s="115" t="s">
        <v>107</v>
      </c>
      <c r="P83" s="115" t="s">
        <v>107</v>
      </c>
      <c r="Q83" s="115" t="s">
        <v>107</v>
      </c>
      <c r="R83" s="115" t="s">
        <v>107</v>
      </c>
      <c r="S83" s="234">
        <v>1</v>
      </c>
      <c r="T83" s="46"/>
      <c r="U83" s="46"/>
      <c r="V83" s="46"/>
      <c r="W83" s="48"/>
      <c r="X83" s="49"/>
      <c r="Y83" s="50"/>
    </row>
    <row r="84" spans="1:25" ht="45">
      <c r="A84" s="91">
        <v>81</v>
      </c>
      <c r="B84" s="110" t="s">
        <v>249</v>
      </c>
      <c r="C84" s="15" t="s">
        <v>250</v>
      </c>
      <c r="D84" s="93" t="s">
        <v>28</v>
      </c>
      <c r="E84" s="94" t="s">
        <v>28</v>
      </c>
      <c r="F84" s="244" t="s">
        <v>251</v>
      </c>
      <c r="G84" s="134" t="s">
        <v>30</v>
      </c>
      <c r="H84" s="33">
        <f>0.3048*198</f>
        <v>60.3504</v>
      </c>
      <c r="I84" s="245">
        <v>500000</v>
      </c>
      <c r="J84" s="96" t="s">
        <v>31</v>
      </c>
      <c r="K84" s="68" t="s">
        <v>252</v>
      </c>
      <c r="L84" s="54"/>
      <c r="M84" s="38"/>
      <c r="N84" s="233" t="s">
        <v>107</v>
      </c>
      <c r="O84" s="233" t="s">
        <v>107</v>
      </c>
      <c r="P84" s="233" t="s">
        <v>107</v>
      </c>
      <c r="Q84" s="233" t="s">
        <v>107</v>
      </c>
      <c r="R84" s="233" t="s">
        <v>107</v>
      </c>
      <c r="S84" s="233" t="s">
        <v>107</v>
      </c>
      <c r="T84" s="233" t="s">
        <v>107</v>
      </c>
      <c r="U84" s="233" t="s">
        <v>107</v>
      </c>
      <c r="V84" s="233" t="s">
        <v>107</v>
      </c>
      <c r="W84" s="234">
        <v>1</v>
      </c>
      <c r="X84" s="99"/>
      <c r="Y84" s="100"/>
    </row>
    <row r="85" spans="1:25" ht="45">
      <c r="A85" s="91">
        <v>82</v>
      </c>
      <c r="B85" s="110" t="s">
        <v>253</v>
      </c>
      <c r="C85" s="15" t="s">
        <v>254</v>
      </c>
      <c r="D85" s="93" t="s">
        <v>28</v>
      </c>
      <c r="E85" s="94" t="s">
        <v>28</v>
      </c>
      <c r="F85" s="68" t="s">
        <v>255</v>
      </c>
      <c r="G85" s="107" t="s">
        <v>30</v>
      </c>
      <c r="H85" s="33">
        <f>0.3048*149</f>
        <v>45.415200000000006</v>
      </c>
      <c r="I85" s="232">
        <v>500000</v>
      </c>
      <c r="J85" s="96" t="s">
        <v>31</v>
      </c>
      <c r="K85" s="68" t="s">
        <v>256</v>
      </c>
      <c r="L85" s="54">
        <v>485000</v>
      </c>
      <c r="M85" s="194">
        <f t="shared" ref="M85:M86" si="14">L85/(I85-I85*3%)</f>
        <v>1</v>
      </c>
      <c r="N85" s="233" t="s">
        <v>107</v>
      </c>
      <c r="O85" s="233" t="s">
        <v>107</v>
      </c>
      <c r="P85" s="233" t="s">
        <v>107</v>
      </c>
      <c r="Q85" s="233" t="s">
        <v>107</v>
      </c>
      <c r="R85" s="233" t="s">
        <v>107</v>
      </c>
      <c r="S85" s="233" t="s">
        <v>107</v>
      </c>
      <c r="T85" s="233" t="s">
        <v>107</v>
      </c>
      <c r="U85" s="233" t="s">
        <v>107</v>
      </c>
      <c r="V85" s="233" t="s">
        <v>107</v>
      </c>
      <c r="W85" s="234">
        <v>1</v>
      </c>
      <c r="X85" s="99"/>
      <c r="Y85" s="100"/>
    </row>
    <row r="86" spans="1:25" ht="45">
      <c r="A86" s="91">
        <v>83</v>
      </c>
      <c r="B86" s="110" t="s">
        <v>257</v>
      </c>
      <c r="C86" s="15" t="s">
        <v>258</v>
      </c>
      <c r="D86" s="93" t="s">
        <v>28</v>
      </c>
      <c r="E86" s="94" t="s">
        <v>28</v>
      </c>
      <c r="F86" s="68" t="s">
        <v>255</v>
      </c>
      <c r="G86" s="107" t="s">
        <v>30</v>
      </c>
      <c r="H86" s="33">
        <f>0.3048*180</f>
        <v>54.864000000000004</v>
      </c>
      <c r="I86" s="31">
        <v>500000</v>
      </c>
      <c r="J86" s="96" t="s">
        <v>31</v>
      </c>
      <c r="K86" s="68" t="s">
        <v>256</v>
      </c>
      <c r="L86" s="54">
        <v>485000</v>
      </c>
      <c r="M86" s="194">
        <f t="shared" si="14"/>
        <v>1</v>
      </c>
      <c r="N86" s="233" t="s">
        <v>107</v>
      </c>
      <c r="O86" s="233" t="s">
        <v>107</v>
      </c>
      <c r="P86" s="233" t="s">
        <v>107</v>
      </c>
      <c r="Q86" s="233" t="s">
        <v>107</v>
      </c>
      <c r="R86" s="233" t="s">
        <v>107</v>
      </c>
      <c r="S86" s="233" t="s">
        <v>107</v>
      </c>
      <c r="T86" s="233" t="s">
        <v>107</v>
      </c>
      <c r="U86" s="233" t="s">
        <v>107</v>
      </c>
      <c r="V86" s="233" t="s">
        <v>107</v>
      </c>
      <c r="W86" s="234">
        <v>1</v>
      </c>
      <c r="X86" s="99"/>
      <c r="Y86" s="100"/>
    </row>
    <row r="87" spans="1:25" ht="42.75">
      <c r="A87" s="91">
        <v>84</v>
      </c>
      <c r="B87" s="110" t="s">
        <v>259</v>
      </c>
      <c r="C87" s="15" t="s">
        <v>260</v>
      </c>
      <c r="D87" s="93" t="s">
        <v>28</v>
      </c>
      <c r="E87" s="94" t="s">
        <v>28</v>
      </c>
      <c r="F87" s="68" t="s">
        <v>255</v>
      </c>
      <c r="G87" s="107" t="s">
        <v>30</v>
      </c>
      <c r="H87" s="33">
        <f>0.3048*180</f>
        <v>54.864000000000004</v>
      </c>
      <c r="I87" s="31">
        <v>500000</v>
      </c>
      <c r="J87" s="96" t="s">
        <v>31</v>
      </c>
      <c r="K87" s="68" t="s">
        <v>197</v>
      </c>
      <c r="L87" s="54"/>
      <c r="M87" s="38"/>
      <c r="N87" s="233" t="s">
        <v>107</v>
      </c>
      <c r="O87" s="233" t="s">
        <v>107</v>
      </c>
      <c r="P87" s="233" t="s">
        <v>107</v>
      </c>
      <c r="Q87" s="233" t="s">
        <v>107</v>
      </c>
      <c r="R87" s="233" t="s">
        <v>107</v>
      </c>
      <c r="S87" s="233" t="s">
        <v>107</v>
      </c>
      <c r="T87" s="233" t="s">
        <v>107</v>
      </c>
      <c r="U87" s="233" t="s">
        <v>107</v>
      </c>
      <c r="V87" s="233" t="s">
        <v>107</v>
      </c>
      <c r="W87" s="234">
        <v>1</v>
      </c>
      <c r="X87" s="99"/>
      <c r="Y87" s="100"/>
    </row>
    <row r="88" spans="1:25" ht="45">
      <c r="A88" s="91">
        <v>85</v>
      </c>
      <c r="B88" s="110" t="s">
        <v>261</v>
      </c>
      <c r="C88" s="15" t="s">
        <v>262</v>
      </c>
      <c r="D88" s="93" t="s">
        <v>28</v>
      </c>
      <c r="E88" s="94" t="s">
        <v>28</v>
      </c>
      <c r="F88" s="15" t="s">
        <v>263</v>
      </c>
      <c r="G88" s="107" t="s">
        <v>30</v>
      </c>
      <c r="H88" s="33">
        <v>79</v>
      </c>
      <c r="I88" s="114">
        <v>500000</v>
      </c>
      <c r="J88" s="96" t="s">
        <v>31</v>
      </c>
      <c r="K88" s="68" t="s">
        <v>264</v>
      </c>
      <c r="L88" s="54"/>
      <c r="M88" s="38"/>
      <c r="N88" s="233" t="s">
        <v>107</v>
      </c>
      <c r="O88" s="233" t="s">
        <v>107</v>
      </c>
      <c r="P88" s="233" t="s">
        <v>107</v>
      </c>
      <c r="Q88" s="233" t="s">
        <v>107</v>
      </c>
      <c r="R88" s="233" t="s">
        <v>107</v>
      </c>
      <c r="S88" s="233" t="s">
        <v>107</v>
      </c>
      <c r="T88" s="233" t="s">
        <v>107</v>
      </c>
      <c r="U88" s="233" t="s">
        <v>107</v>
      </c>
      <c r="V88" s="233" t="s">
        <v>107</v>
      </c>
      <c r="W88" s="234">
        <v>1</v>
      </c>
      <c r="X88" s="99"/>
      <c r="Y88" s="100"/>
    </row>
    <row r="89" spans="1:25" ht="45">
      <c r="A89" s="91">
        <v>86</v>
      </c>
      <c r="B89" s="110" t="s">
        <v>265</v>
      </c>
      <c r="C89" s="15" t="s">
        <v>266</v>
      </c>
      <c r="D89" s="93" t="s">
        <v>28</v>
      </c>
      <c r="E89" s="94" t="s">
        <v>28</v>
      </c>
      <c r="F89" s="15" t="s">
        <v>267</v>
      </c>
      <c r="G89" s="107" t="s">
        <v>30</v>
      </c>
      <c r="H89" s="33">
        <v>122</v>
      </c>
      <c r="I89" s="114">
        <v>700000</v>
      </c>
      <c r="J89" s="96" t="s">
        <v>31</v>
      </c>
      <c r="K89" s="15"/>
      <c r="L89" s="54">
        <v>679000</v>
      </c>
      <c r="M89" s="38"/>
      <c r="N89" s="233" t="s">
        <v>107</v>
      </c>
      <c r="O89" s="233" t="s">
        <v>107</v>
      </c>
      <c r="P89" s="233" t="s">
        <v>107</v>
      </c>
      <c r="Q89" s="233" t="s">
        <v>107</v>
      </c>
      <c r="R89" s="233" t="s">
        <v>107</v>
      </c>
      <c r="S89" s="233" t="s">
        <v>107</v>
      </c>
      <c r="T89" s="233" t="s">
        <v>107</v>
      </c>
      <c r="U89" s="233" t="s">
        <v>107</v>
      </c>
      <c r="V89" s="233" t="s">
        <v>107</v>
      </c>
      <c r="W89" s="234">
        <v>1</v>
      </c>
      <c r="X89" s="99"/>
      <c r="Y89" s="100"/>
    </row>
    <row r="90" spans="1:25" s="51" customFormat="1" ht="45">
      <c r="A90" s="39" t="s">
        <v>268</v>
      </c>
      <c r="B90" s="40" t="s">
        <v>269</v>
      </c>
      <c r="C90" s="18" t="s">
        <v>270</v>
      </c>
      <c r="D90" s="41" t="s">
        <v>28</v>
      </c>
      <c r="E90" s="42" t="s">
        <v>28</v>
      </c>
      <c r="F90" s="18" t="s">
        <v>271</v>
      </c>
      <c r="G90" s="43" t="s">
        <v>30</v>
      </c>
      <c r="H90" s="33">
        <f>0.3048*16</f>
        <v>4.8768000000000002</v>
      </c>
      <c r="I90" s="65">
        <v>60000</v>
      </c>
      <c r="J90" s="21" t="s">
        <v>31</v>
      </c>
      <c r="K90" s="18" t="s">
        <v>272</v>
      </c>
      <c r="L90" s="53"/>
      <c r="M90" s="22"/>
      <c r="N90" s="233" t="s">
        <v>107</v>
      </c>
      <c r="O90" s="233" t="s">
        <v>107</v>
      </c>
      <c r="P90" s="233" t="s">
        <v>107</v>
      </c>
      <c r="Q90" s="233" t="s">
        <v>107</v>
      </c>
      <c r="R90" s="233" t="s">
        <v>107</v>
      </c>
      <c r="S90" s="233" t="s">
        <v>107</v>
      </c>
      <c r="T90" s="233" t="s">
        <v>107</v>
      </c>
      <c r="U90" s="233" t="s">
        <v>107</v>
      </c>
      <c r="V90" s="233" t="s">
        <v>107</v>
      </c>
      <c r="W90" s="234">
        <v>1</v>
      </c>
      <c r="X90" s="25" t="s">
        <v>273</v>
      </c>
      <c r="Y90" s="50"/>
    </row>
    <row r="91" spans="1:25" s="51" customFormat="1" ht="30">
      <c r="A91" s="39" t="s">
        <v>274</v>
      </c>
      <c r="B91" s="66" t="s">
        <v>275</v>
      </c>
      <c r="C91" s="18" t="s">
        <v>276</v>
      </c>
      <c r="D91" s="41" t="s">
        <v>28</v>
      </c>
      <c r="E91" s="42" t="s">
        <v>28</v>
      </c>
      <c r="F91" s="18" t="s">
        <v>271</v>
      </c>
      <c r="G91" s="43" t="s">
        <v>30</v>
      </c>
      <c r="H91" s="22"/>
      <c r="I91" s="65">
        <v>500000</v>
      </c>
      <c r="J91" s="21" t="s">
        <v>31</v>
      </c>
      <c r="K91" s="18"/>
      <c r="L91" s="53"/>
      <c r="M91" s="22"/>
      <c r="N91" s="233" t="s">
        <v>107</v>
      </c>
      <c r="O91" s="233" t="s">
        <v>107</v>
      </c>
      <c r="P91" s="233" t="s">
        <v>107</v>
      </c>
      <c r="Q91" s="233" t="s">
        <v>107</v>
      </c>
      <c r="R91" s="233" t="s">
        <v>107</v>
      </c>
      <c r="S91" s="233" t="s">
        <v>107</v>
      </c>
      <c r="T91" s="233" t="s">
        <v>107</v>
      </c>
      <c r="U91" s="233" t="s">
        <v>107</v>
      </c>
      <c r="V91" s="233" t="s">
        <v>107</v>
      </c>
      <c r="W91" s="234">
        <v>1</v>
      </c>
      <c r="X91" s="49"/>
      <c r="Y91" s="50"/>
    </row>
    <row r="92" spans="1:25" ht="60">
      <c r="A92" s="91">
        <v>89</v>
      </c>
      <c r="B92" s="110" t="s">
        <v>277</v>
      </c>
      <c r="C92" s="15" t="s">
        <v>278</v>
      </c>
      <c r="D92" s="93" t="s">
        <v>28</v>
      </c>
      <c r="E92" s="94" t="s">
        <v>28</v>
      </c>
      <c r="F92" s="68" t="s">
        <v>279</v>
      </c>
      <c r="G92" s="107" t="s">
        <v>30</v>
      </c>
      <c r="H92" s="33">
        <f>0.3048*87</f>
        <v>26.517600000000002</v>
      </c>
      <c r="I92" s="114">
        <v>250000</v>
      </c>
      <c r="J92" s="96" t="s">
        <v>31</v>
      </c>
      <c r="K92" s="68" t="s">
        <v>280</v>
      </c>
      <c r="L92" s="54">
        <v>242500</v>
      </c>
      <c r="M92" s="194">
        <f t="shared" ref="M92:M95" si="15">L92/(I92-I92*3%)</f>
        <v>1</v>
      </c>
      <c r="N92" s="233" t="s">
        <v>107</v>
      </c>
      <c r="O92" s="233" t="s">
        <v>107</v>
      </c>
      <c r="P92" s="233" t="s">
        <v>107</v>
      </c>
      <c r="Q92" s="233" t="s">
        <v>107</v>
      </c>
      <c r="R92" s="233" t="s">
        <v>107</v>
      </c>
      <c r="S92" s="233" t="s">
        <v>107</v>
      </c>
      <c r="T92" s="233" t="s">
        <v>107</v>
      </c>
      <c r="U92" s="233" t="s">
        <v>107</v>
      </c>
      <c r="V92" s="233" t="s">
        <v>107</v>
      </c>
      <c r="W92" s="234">
        <v>1</v>
      </c>
      <c r="X92" s="99"/>
      <c r="Y92" s="100"/>
    </row>
    <row r="93" spans="1:25" ht="60">
      <c r="A93" s="91">
        <v>90</v>
      </c>
      <c r="B93" s="110" t="s">
        <v>281</v>
      </c>
      <c r="C93" s="15" t="s">
        <v>282</v>
      </c>
      <c r="D93" s="93" t="s">
        <v>28</v>
      </c>
      <c r="E93" s="94" t="s">
        <v>28</v>
      </c>
      <c r="F93" s="68" t="s">
        <v>279</v>
      </c>
      <c r="G93" s="107" t="s">
        <v>30</v>
      </c>
      <c r="H93" s="33">
        <f>0.3048*102</f>
        <v>31.089600000000001</v>
      </c>
      <c r="I93" s="114">
        <v>300000</v>
      </c>
      <c r="J93" s="96" t="s">
        <v>31</v>
      </c>
      <c r="K93" s="68" t="s">
        <v>280</v>
      </c>
      <c r="L93" s="54">
        <v>291000</v>
      </c>
      <c r="M93" s="194">
        <f t="shared" si="15"/>
        <v>1</v>
      </c>
      <c r="N93" s="233" t="s">
        <v>107</v>
      </c>
      <c r="O93" s="233" t="s">
        <v>107</v>
      </c>
      <c r="P93" s="233" t="s">
        <v>107</v>
      </c>
      <c r="Q93" s="233" t="s">
        <v>107</v>
      </c>
      <c r="R93" s="233" t="s">
        <v>107</v>
      </c>
      <c r="S93" s="233" t="s">
        <v>107</v>
      </c>
      <c r="T93" s="233" t="s">
        <v>107</v>
      </c>
      <c r="U93" s="233" t="s">
        <v>107</v>
      </c>
      <c r="V93" s="233" t="s">
        <v>107</v>
      </c>
      <c r="W93" s="234">
        <v>1</v>
      </c>
      <c r="X93" s="99"/>
      <c r="Y93" s="100"/>
    </row>
    <row r="94" spans="1:25" s="59" customFormat="1" ht="60">
      <c r="A94" s="120">
        <v>91</v>
      </c>
      <c r="B94" s="121" t="s">
        <v>283</v>
      </c>
      <c r="C94" s="57" t="s">
        <v>284</v>
      </c>
      <c r="D94" s="122" t="s">
        <v>28</v>
      </c>
      <c r="E94" s="123" t="s">
        <v>28</v>
      </c>
      <c r="F94" s="57" t="s">
        <v>279</v>
      </c>
      <c r="G94" s="124" t="s">
        <v>30</v>
      </c>
      <c r="H94" s="58">
        <f>0.3048*87</f>
        <v>26.517600000000002</v>
      </c>
      <c r="I94" s="125">
        <v>250000</v>
      </c>
      <c r="J94" s="126" t="s">
        <v>31</v>
      </c>
      <c r="K94" s="57" t="s">
        <v>280</v>
      </c>
      <c r="L94" s="56">
        <v>221801.25</v>
      </c>
      <c r="M94" s="194">
        <f t="shared" si="15"/>
        <v>0.91464432989690725</v>
      </c>
      <c r="N94" s="233" t="s">
        <v>107</v>
      </c>
      <c r="O94" s="233" t="s">
        <v>107</v>
      </c>
      <c r="P94" s="233" t="s">
        <v>107</v>
      </c>
      <c r="Q94" s="233" t="s">
        <v>107</v>
      </c>
      <c r="R94" s="233" t="s">
        <v>107</v>
      </c>
      <c r="S94" s="233" t="s">
        <v>107</v>
      </c>
      <c r="T94" s="233" t="s">
        <v>107</v>
      </c>
      <c r="U94" s="233" t="s">
        <v>107</v>
      </c>
      <c r="V94" s="233" t="s">
        <v>107</v>
      </c>
      <c r="W94" s="234">
        <v>1</v>
      </c>
      <c r="X94" s="60"/>
      <c r="Y94" s="61"/>
    </row>
    <row r="95" spans="1:25" ht="45">
      <c r="A95" s="91">
        <v>92</v>
      </c>
      <c r="B95" s="110" t="s">
        <v>285</v>
      </c>
      <c r="C95" s="15" t="s">
        <v>286</v>
      </c>
      <c r="D95" s="93" t="s">
        <v>28</v>
      </c>
      <c r="E95" s="94" t="s">
        <v>28</v>
      </c>
      <c r="F95" s="68" t="s">
        <v>279</v>
      </c>
      <c r="G95" s="107" t="s">
        <v>30</v>
      </c>
      <c r="H95" s="33">
        <f>0.3048*164</f>
        <v>49.987200000000001</v>
      </c>
      <c r="I95" s="114">
        <v>400000</v>
      </c>
      <c r="J95" s="96" t="s">
        <v>31</v>
      </c>
      <c r="K95" s="119" t="s">
        <v>280</v>
      </c>
      <c r="L95" s="54">
        <f>388000</f>
        <v>388000</v>
      </c>
      <c r="M95" s="194">
        <f t="shared" si="15"/>
        <v>1</v>
      </c>
      <c r="N95" s="233" t="s">
        <v>107</v>
      </c>
      <c r="O95" s="233" t="s">
        <v>107</v>
      </c>
      <c r="P95" s="233" t="s">
        <v>107</v>
      </c>
      <c r="Q95" s="233" t="s">
        <v>107</v>
      </c>
      <c r="R95" s="233" t="s">
        <v>107</v>
      </c>
      <c r="S95" s="233" t="s">
        <v>107</v>
      </c>
      <c r="T95" s="233" t="s">
        <v>107</v>
      </c>
      <c r="U95" s="233" t="s">
        <v>107</v>
      </c>
      <c r="V95" s="233" t="s">
        <v>107</v>
      </c>
      <c r="W95" s="234">
        <v>1</v>
      </c>
      <c r="X95" s="99"/>
      <c r="Y95" s="100"/>
    </row>
    <row r="96" spans="1:25" ht="45">
      <c r="A96" s="91">
        <v>93</v>
      </c>
      <c r="B96" s="110" t="s">
        <v>287</v>
      </c>
      <c r="C96" s="15" t="s">
        <v>288</v>
      </c>
      <c r="D96" s="93" t="s">
        <v>28</v>
      </c>
      <c r="E96" s="94" t="s">
        <v>28</v>
      </c>
      <c r="F96" s="68" t="s">
        <v>279</v>
      </c>
      <c r="G96" s="107" t="s">
        <v>30</v>
      </c>
      <c r="H96" s="38"/>
      <c r="I96" s="55">
        <v>1000000</v>
      </c>
      <c r="J96" s="96" t="s">
        <v>31</v>
      </c>
      <c r="K96" s="15"/>
      <c r="L96" s="54"/>
      <c r="M96" s="38"/>
      <c r="N96" s="233" t="s">
        <v>107</v>
      </c>
      <c r="O96" s="233" t="s">
        <v>107</v>
      </c>
      <c r="P96" s="233" t="s">
        <v>107</v>
      </c>
      <c r="Q96" s="233" t="s">
        <v>107</v>
      </c>
      <c r="R96" s="233" t="s">
        <v>107</v>
      </c>
      <c r="S96" s="233" t="s">
        <v>107</v>
      </c>
      <c r="T96" s="233" t="s">
        <v>107</v>
      </c>
      <c r="U96" s="233" t="s">
        <v>107</v>
      </c>
      <c r="V96" s="233" t="s">
        <v>107</v>
      </c>
      <c r="W96" s="234">
        <v>1</v>
      </c>
      <c r="X96" s="99"/>
      <c r="Y96" s="100"/>
    </row>
    <row r="97" spans="1:25" s="51" customFormat="1" ht="45">
      <c r="A97" s="39" t="s">
        <v>289</v>
      </c>
      <c r="B97" s="40" t="s">
        <v>290</v>
      </c>
      <c r="C97" s="18" t="s">
        <v>291</v>
      </c>
      <c r="D97" s="41" t="s">
        <v>28</v>
      </c>
      <c r="E97" s="42" t="s">
        <v>28</v>
      </c>
      <c r="F97" s="18" t="s">
        <v>279</v>
      </c>
      <c r="G97" s="43" t="s">
        <v>30</v>
      </c>
      <c r="H97" s="33">
        <f>0.3048*228</f>
        <v>69.494399999999999</v>
      </c>
      <c r="I97" s="65">
        <v>800000</v>
      </c>
      <c r="J97" s="21" t="s">
        <v>31</v>
      </c>
      <c r="K97" s="18"/>
      <c r="L97" s="53"/>
      <c r="M97" s="22"/>
      <c r="N97" s="233" t="s">
        <v>107</v>
      </c>
      <c r="O97" s="233" t="s">
        <v>107</v>
      </c>
      <c r="P97" s="233" t="s">
        <v>107</v>
      </c>
      <c r="Q97" s="233" t="s">
        <v>107</v>
      </c>
      <c r="R97" s="233" t="s">
        <v>107</v>
      </c>
      <c r="S97" s="234">
        <v>1</v>
      </c>
      <c r="T97" s="46"/>
      <c r="U97" s="46"/>
      <c r="V97" s="46"/>
      <c r="W97" s="48"/>
      <c r="X97" s="49"/>
      <c r="Y97" s="50"/>
    </row>
    <row r="98" spans="1:25" ht="60">
      <c r="A98" s="91">
        <v>95</v>
      </c>
      <c r="B98" s="110" t="s">
        <v>292</v>
      </c>
      <c r="C98" s="15" t="s">
        <v>293</v>
      </c>
      <c r="D98" s="93" t="s">
        <v>28</v>
      </c>
      <c r="E98" s="94" t="s">
        <v>28</v>
      </c>
      <c r="F98" s="68" t="s">
        <v>294</v>
      </c>
      <c r="G98" s="107" t="s">
        <v>30</v>
      </c>
      <c r="H98" s="33">
        <f>0.3048*377</f>
        <v>114.90960000000001</v>
      </c>
      <c r="I98" s="31">
        <v>1000000</v>
      </c>
      <c r="J98" s="96" t="s">
        <v>31</v>
      </c>
      <c r="K98" s="68" t="s">
        <v>295</v>
      </c>
      <c r="L98" s="54">
        <v>970000</v>
      </c>
      <c r="M98" s="194">
        <f>L98/(I98-I98*3%)</f>
        <v>1</v>
      </c>
      <c r="N98" s="233" t="s">
        <v>107</v>
      </c>
      <c r="O98" s="233" t="s">
        <v>107</v>
      </c>
      <c r="P98" s="233" t="s">
        <v>107</v>
      </c>
      <c r="Q98" s="233" t="s">
        <v>107</v>
      </c>
      <c r="R98" s="233" t="s">
        <v>107</v>
      </c>
      <c r="S98" s="233" t="s">
        <v>107</v>
      </c>
      <c r="T98" s="233" t="s">
        <v>107</v>
      </c>
      <c r="U98" s="233">
        <f>-U99</f>
        <v>0</v>
      </c>
      <c r="V98" s="233">
        <f>-V99</f>
        <v>0</v>
      </c>
      <c r="W98" s="234">
        <v>1</v>
      </c>
      <c r="X98" s="99"/>
      <c r="Y98" s="100"/>
    </row>
    <row r="99" spans="1:25" ht="60">
      <c r="A99" s="91">
        <v>96</v>
      </c>
      <c r="B99" s="110" t="s">
        <v>296</v>
      </c>
      <c r="C99" s="15" t="s">
        <v>297</v>
      </c>
      <c r="D99" s="93" t="s">
        <v>28</v>
      </c>
      <c r="E99" s="94" t="s">
        <v>28</v>
      </c>
      <c r="F99" s="68" t="s">
        <v>294</v>
      </c>
      <c r="G99" s="107" t="s">
        <v>30</v>
      </c>
      <c r="H99" s="33">
        <f>0.3048*115</f>
        <v>35.052</v>
      </c>
      <c r="I99" s="31">
        <v>400000</v>
      </c>
      <c r="J99" s="96" t="s">
        <v>31</v>
      </c>
      <c r="K99" s="68" t="s">
        <v>295</v>
      </c>
      <c r="L99" s="54"/>
      <c r="M99" s="38"/>
      <c r="N99" s="233" t="s">
        <v>107</v>
      </c>
      <c r="O99" s="233" t="s">
        <v>107</v>
      </c>
      <c r="P99" s="233" t="s">
        <v>107</v>
      </c>
      <c r="Q99" s="233" t="s">
        <v>107</v>
      </c>
      <c r="R99" s="233" t="s">
        <v>107</v>
      </c>
      <c r="S99" s="233" t="s">
        <v>107</v>
      </c>
      <c r="T99" s="233" t="s">
        <v>107</v>
      </c>
      <c r="U99" s="233">
        <f t="shared" ref="U99:V104" si="16">-U100</f>
        <v>0</v>
      </c>
      <c r="V99" s="233">
        <f t="shared" si="16"/>
        <v>0</v>
      </c>
      <c r="W99" s="234">
        <v>1</v>
      </c>
      <c r="X99" s="99"/>
      <c r="Y99" s="100"/>
    </row>
    <row r="100" spans="1:25" ht="30">
      <c r="A100" s="91">
        <v>97</v>
      </c>
      <c r="B100" s="110" t="s">
        <v>298</v>
      </c>
      <c r="C100" s="15" t="s">
        <v>299</v>
      </c>
      <c r="D100" s="93" t="s">
        <v>28</v>
      </c>
      <c r="E100" s="94" t="s">
        <v>28</v>
      </c>
      <c r="F100" s="68" t="s">
        <v>294</v>
      </c>
      <c r="G100" s="107" t="s">
        <v>30</v>
      </c>
      <c r="H100" s="33">
        <f>0.3048*305</f>
        <v>92.963999999999999</v>
      </c>
      <c r="I100" s="31">
        <v>500000</v>
      </c>
      <c r="J100" s="96" t="s">
        <v>31</v>
      </c>
      <c r="K100" s="15"/>
      <c r="L100" s="54"/>
      <c r="M100" s="38"/>
      <c r="N100" s="233" t="s">
        <v>107</v>
      </c>
      <c r="O100" s="233" t="s">
        <v>107</v>
      </c>
      <c r="P100" s="233" t="s">
        <v>107</v>
      </c>
      <c r="Q100" s="233" t="s">
        <v>107</v>
      </c>
      <c r="R100" s="233" t="s">
        <v>107</v>
      </c>
      <c r="S100" s="233" t="s">
        <v>107</v>
      </c>
      <c r="T100" s="233" t="s">
        <v>107</v>
      </c>
      <c r="U100" s="233">
        <f t="shared" si="16"/>
        <v>0</v>
      </c>
      <c r="V100" s="233">
        <f t="shared" si="16"/>
        <v>0</v>
      </c>
      <c r="W100" s="234">
        <v>1</v>
      </c>
      <c r="X100" s="99"/>
      <c r="Y100" s="100"/>
    </row>
    <row r="101" spans="1:25" ht="60">
      <c r="A101" s="91">
        <v>98</v>
      </c>
      <c r="B101" s="110" t="s">
        <v>300</v>
      </c>
      <c r="C101" s="15" t="s">
        <v>301</v>
      </c>
      <c r="D101" s="93" t="s">
        <v>28</v>
      </c>
      <c r="E101" s="94" t="s">
        <v>28</v>
      </c>
      <c r="F101" s="68" t="s">
        <v>302</v>
      </c>
      <c r="G101" s="107" t="s">
        <v>30</v>
      </c>
      <c r="H101" s="33">
        <f>0.3048*180</f>
        <v>54.864000000000004</v>
      </c>
      <c r="I101" s="31">
        <v>700000</v>
      </c>
      <c r="J101" s="96" t="s">
        <v>31</v>
      </c>
      <c r="K101" s="68" t="s">
        <v>295</v>
      </c>
      <c r="L101" s="54">
        <v>679000</v>
      </c>
      <c r="M101" s="194">
        <f>L101/(I101-I101*3%)</f>
        <v>1</v>
      </c>
      <c r="N101" s="233" t="s">
        <v>107</v>
      </c>
      <c r="O101" s="233" t="s">
        <v>107</v>
      </c>
      <c r="P101" s="233" t="s">
        <v>107</v>
      </c>
      <c r="Q101" s="233" t="s">
        <v>107</v>
      </c>
      <c r="R101" s="233" t="s">
        <v>107</v>
      </c>
      <c r="S101" s="233" t="s">
        <v>107</v>
      </c>
      <c r="T101" s="233" t="s">
        <v>107</v>
      </c>
      <c r="U101" s="233">
        <f t="shared" si="16"/>
        <v>0</v>
      </c>
      <c r="V101" s="233">
        <f t="shared" si="16"/>
        <v>0</v>
      </c>
      <c r="W101" s="234">
        <v>1</v>
      </c>
      <c r="X101" s="246" t="s">
        <v>303</v>
      </c>
      <c r="Y101" s="100"/>
    </row>
    <row r="102" spans="1:25" ht="30">
      <c r="A102" s="91">
        <v>99</v>
      </c>
      <c r="B102" s="110" t="s">
        <v>304</v>
      </c>
      <c r="C102" s="15" t="s">
        <v>305</v>
      </c>
      <c r="D102" s="93" t="s">
        <v>28</v>
      </c>
      <c r="E102" s="94" t="s">
        <v>28</v>
      </c>
      <c r="F102" s="68" t="s">
        <v>302</v>
      </c>
      <c r="G102" s="107" t="s">
        <v>30</v>
      </c>
      <c r="H102" s="33">
        <f>0.3048*274</f>
        <v>83.515200000000007</v>
      </c>
      <c r="I102" s="31">
        <v>700000</v>
      </c>
      <c r="J102" s="96" t="s">
        <v>31</v>
      </c>
      <c r="K102" s="15"/>
      <c r="L102" s="54"/>
      <c r="M102" s="38"/>
      <c r="N102" s="233" t="s">
        <v>107</v>
      </c>
      <c r="O102" s="233" t="s">
        <v>107</v>
      </c>
      <c r="P102" s="233" t="s">
        <v>107</v>
      </c>
      <c r="Q102" s="233" t="s">
        <v>107</v>
      </c>
      <c r="R102" s="233" t="s">
        <v>107</v>
      </c>
      <c r="S102" s="233" t="s">
        <v>107</v>
      </c>
      <c r="T102" s="233" t="s">
        <v>107</v>
      </c>
      <c r="U102" s="233">
        <f t="shared" si="16"/>
        <v>0</v>
      </c>
      <c r="V102" s="233">
        <f t="shared" si="16"/>
        <v>0</v>
      </c>
      <c r="W102" s="234">
        <v>1</v>
      </c>
      <c r="X102" s="99"/>
      <c r="Y102" s="100"/>
    </row>
    <row r="103" spans="1:25" ht="30">
      <c r="A103" s="91">
        <v>100</v>
      </c>
      <c r="B103" s="110" t="s">
        <v>306</v>
      </c>
      <c r="C103" s="15" t="s">
        <v>307</v>
      </c>
      <c r="D103" s="93" t="s">
        <v>28</v>
      </c>
      <c r="E103" s="94" t="s">
        <v>28</v>
      </c>
      <c r="F103" s="68" t="s">
        <v>308</v>
      </c>
      <c r="G103" s="107" t="s">
        <v>30</v>
      </c>
      <c r="H103" s="33">
        <f>0.3048*175</f>
        <v>53.34</v>
      </c>
      <c r="I103" s="31">
        <v>500000</v>
      </c>
      <c r="J103" s="96" t="s">
        <v>31</v>
      </c>
      <c r="K103" s="15" t="s">
        <v>309</v>
      </c>
      <c r="L103" s="54">
        <v>485000</v>
      </c>
      <c r="M103" s="194">
        <f t="shared" ref="M103:M104" si="17">L103/(I103-I103*3%)</f>
        <v>1</v>
      </c>
      <c r="N103" s="233" t="s">
        <v>107</v>
      </c>
      <c r="O103" s="233" t="s">
        <v>107</v>
      </c>
      <c r="P103" s="233" t="s">
        <v>107</v>
      </c>
      <c r="Q103" s="233" t="s">
        <v>107</v>
      </c>
      <c r="R103" s="233" t="s">
        <v>107</v>
      </c>
      <c r="S103" s="233" t="s">
        <v>107</v>
      </c>
      <c r="T103" s="233" t="s">
        <v>107</v>
      </c>
      <c r="U103" s="233">
        <f t="shared" si="16"/>
        <v>0</v>
      </c>
      <c r="V103" s="233">
        <f t="shared" si="16"/>
        <v>0</v>
      </c>
      <c r="W103" s="234">
        <v>1</v>
      </c>
      <c r="X103" s="99"/>
      <c r="Y103" s="100"/>
    </row>
    <row r="104" spans="1:25" ht="45">
      <c r="A104" s="91">
        <v>101</v>
      </c>
      <c r="B104" s="110" t="s">
        <v>310</v>
      </c>
      <c r="C104" s="15" t="s">
        <v>311</v>
      </c>
      <c r="D104" s="93" t="s">
        <v>28</v>
      </c>
      <c r="E104" s="94" t="s">
        <v>28</v>
      </c>
      <c r="F104" s="68" t="s">
        <v>308</v>
      </c>
      <c r="G104" s="107" t="s">
        <v>30</v>
      </c>
      <c r="H104" s="33">
        <f>0.3048*164</f>
        <v>49.987200000000001</v>
      </c>
      <c r="I104" s="31">
        <v>500000</v>
      </c>
      <c r="J104" s="96" t="s">
        <v>31</v>
      </c>
      <c r="K104" s="15" t="s">
        <v>309</v>
      </c>
      <c r="L104" s="54">
        <v>485000</v>
      </c>
      <c r="M104" s="194">
        <f t="shared" si="17"/>
        <v>1</v>
      </c>
      <c r="N104" s="233" t="s">
        <v>107</v>
      </c>
      <c r="O104" s="233" t="s">
        <v>107</v>
      </c>
      <c r="P104" s="233" t="s">
        <v>107</v>
      </c>
      <c r="Q104" s="233" t="s">
        <v>107</v>
      </c>
      <c r="R104" s="233" t="s">
        <v>107</v>
      </c>
      <c r="S104" s="233" t="s">
        <v>107</v>
      </c>
      <c r="T104" s="233" t="s">
        <v>107</v>
      </c>
      <c r="U104" s="233">
        <f t="shared" si="16"/>
        <v>0</v>
      </c>
      <c r="V104" s="233">
        <f t="shared" si="16"/>
        <v>0</v>
      </c>
      <c r="W104" s="234">
        <v>1</v>
      </c>
      <c r="X104" s="99"/>
      <c r="Y104" s="100"/>
    </row>
    <row r="105" spans="1:25" ht="45">
      <c r="A105" s="91">
        <v>102</v>
      </c>
      <c r="B105" s="110" t="s">
        <v>312</v>
      </c>
      <c r="C105" s="15" t="s">
        <v>313</v>
      </c>
      <c r="D105" s="93" t="s">
        <v>28</v>
      </c>
      <c r="E105" s="94" t="s">
        <v>28</v>
      </c>
      <c r="F105" s="244" t="s">
        <v>314</v>
      </c>
      <c r="G105" s="107" t="s">
        <v>30</v>
      </c>
      <c r="H105" s="38"/>
      <c r="I105" s="31">
        <v>940000</v>
      </c>
      <c r="J105" s="96" t="s">
        <v>31</v>
      </c>
      <c r="K105" s="15"/>
      <c r="L105" s="54"/>
      <c r="M105" s="38"/>
      <c r="N105" s="115">
        <v>1</v>
      </c>
      <c r="O105" s="118"/>
      <c r="P105" s="102"/>
      <c r="Q105" s="102"/>
      <c r="R105" s="115"/>
      <c r="S105" s="116"/>
      <c r="T105" s="97"/>
      <c r="U105" s="97"/>
      <c r="V105" s="97"/>
      <c r="W105" s="116"/>
      <c r="X105" s="99"/>
      <c r="Y105" s="100" t="s">
        <v>315</v>
      </c>
    </row>
    <row r="106" spans="1:25" ht="30">
      <c r="A106" s="91">
        <v>103</v>
      </c>
      <c r="B106" s="110" t="s">
        <v>316</v>
      </c>
      <c r="C106" s="15" t="s">
        <v>317</v>
      </c>
      <c r="D106" s="93" t="s">
        <v>28</v>
      </c>
      <c r="E106" s="94" t="s">
        <v>28</v>
      </c>
      <c r="F106" s="244" t="s">
        <v>314</v>
      </c>
      <c r="G106" s="107" t="s">
        <v>30</v>
      </c>
      <c r="H106" s="33">
        <v>21</v>
      </c>
      <c r="I106" s="31">
        <v>100000</v>
      </c>
      <c r="J106" s="96" t="s">
        <v>31</v>
      </c>
      <c r="K106" s="68" t="s">
        <v>227</v>
      </c>
      <c r="L106" s="54"/>
      <c r="M106" s="38"/>
      <c r="N106" s="233" t="s">
        <v>107</v>
      </c>
      <c r="O106" s="233" t="s">
        <v>107</v>
      </c>
      <c r="P106" s="233" t="s">
        <v>107</v>
      </c>
      <c r="Q106" s="233" t="s">
        <v>107</v>
      </c>
      <c r="R106" s="233" t="s">
        <v>107</v>
      </c>
      <c r="S106" s="233" t="s">
        <v>107</v>
      </c>
      <c r="T106" s="233" t="s">
        <v>107</v>
      </c>
      <c r="U106" s="233" t="s">
        <v>107</v>
      </c>
      <c r="V106" s="233" t="s">
        <v>107</v>
      </c>
      <c r="W106" s="234" t="s">
        <v>244</v>
      </c>
      <c r="X106" s="99"/>
      <c r="Y106" s="100"/>
    </row>
    <row r="107" spans="1:25" ht="30">
      <c r="A107" s="91">
        <v>104</v>
      </c>
      <c r="B107" s="110" t="s">
        <v>318</v>
      </c>
      <c r="C107" s="15" t="s">
        <v>319</v>
      </c>
      <c r="D107" s="93" t="s">
        <v>28</v>
      </c>
      <c r="E107" s="94" t="s">
        <v>28</v>
      </c>
      <c r="F107" s="68" t="s">
        <v>320</v>
      </c>
      <c r="G107" s="107" t="s">
        <v>30</v>
      </c>
      <c r="H107" s="38">
        <f>0.3048*64</f>
        <v>19.507200000000001</v>
      </c>
      <c r="I107" s="232">
        <v>465000</v>
      </c>
      <c r="J107" s="96" t="s">
        <v>31</v>
      </c>
      <c r="K107" s="15"/>
      <c r="L107" s="54"/>
      <c r="M107" s="38"/>
      <c r="N107" s="115" t="s">
        <v>107</v>
      </c>
      <c r="O107" s="118"/>
      <c r="P107" s="102"/>
      <c r="Q107" s="102"/>
      <c r="R107" s="115">
        <v>1</v>
      </c>
      <c r="S107" s="116"/>
      <c r="T107" s="99"/>
      <c r="U107" s="99"/>
      <c r="V107" s="99"/>
      <c r="W107" s="116"/>
      <c r="X107" s="99"/>
      <c r="Y107" s="100"/>
    </row>
    <row r="108" spans="1:25" ht="30">
      <c r="A108" s="91">
        <v>105</v>
      </c>
      <c r="B108" s="110" t="s">
        <v>321</v>
      </c>
      <c r="C108" s="15" t="s">
        <v>322</v>
      </c>
      <c r="D108" s="93" t="s">
        <v>28</v>
      </c>
      <c r="E108" s="94" t="s">
        <v>28</v>
      </c>
      <c r="F108" s="68" t="s">
        <v>320</v>
      </c>
      <c r="G108" s="107" t="s">
        <v>30</v>
      </c>
      <c r="H108" s="38">
        <f>0.3048*171</f>
        <v>52.120800000000003</v>
      </c>
      <c r="I108" s="232">
        <v>465000</v>
      </c>
      <c r="J108" s="96" t="s">
        <v>31</v>
      </c>
      <c r="K108" s="15"/>
      <c r="L108" s="54"/>
      <c r="M108" s="38"/>
      <c r="N108" s="233" t="s">
        <v>107</v>
      </c>
      <c r="O108" s="233" t="s">
        <v>107</v>
      </c>
      <c r="P108" s="233" t="s">
        <v>107</v>
      </c>
      <c r="Q108" s="233" t="s">
        <v>107</v>
      </c>
      <c r="R108" s="233" t="s">
        <v>107</v>
      </c>
      <c r="S108" s="234">
        <v>1</v>
      </c>
      <c r="T108" s="99"/>
      <c r="U108" s="99"/>
      <c r="V108" s="99"/>
      <c r="W108" s="116"/>
      <c r="X108" s="99"/>
      <c r="Y108" s="100"/>
    </row>
    <row r="109" spans="1:25" ht="30">
      <c r="A109" s="91">
        <v>106</v>
      </c>
      <c r="B109" s="110" t="s">
        <v>323</v>
      </c>
      <c r="C109" s="15" t="s">
        <v>324</v>
      </c>
      <c r="D109" s="93" t="s">
        <v>28</v>
      </c>
      <c r="E109" s="94" t="s">
        <v>28</v>
      </c>
      <c r="F109" s="68" t="s">
        <v>320</v>
      </c>
      <c r="G109" s="107" t="s">
        <v>30</v>
      </c>
      <c r="H109" s="38">
        <f>0.3048*89</f>
        <v>27.127200000000002</v>
      </c>
      <c r="I109" s="31">
        <v>270000</v>
      </c>
      <c r="J109" s="96" t="s">
        <v>31</v>
      </c>
      <c r="K109" s="15"/>
      <c r="L109" s="54"/>
      <c r="M109" s="38"/>
      <c r="N109" s="233" t="s">
        <v>107</v>
      </c>
      <c r="O109" s="233" t="s">
        <v>107</v>
      </c>
      <c r="P109" s="233" t="s">
        <v>107</v>
      </c>
      <c r="Q109" s="233" t="s">
        <v>107</v>
      </c>
      <c r="R109" s="233" t="s">
        <v>107</v>
      </c>
      <c r="S109" s="233" t="s">
        <v>107</v>
      </c>
      <c r="T109" s="233" t="s">
        <v>107</v>
      </c>
      <c r="U109" s="233" t="s">
        <v>107</v>
      </c>
      <c r="V109" s="233" t="s">
        <v>107</v>
      </c>
      <c r="W109" s="234">
        <v>1</v>
      </c>
      <c r="X109" s="99"/>
      <c r="Y109" s="100"/>
    </row>
    <row r="110" spans="1:25" s="51" customFormat="1" ht="60">
      <c r="A110" s="39" t="s">
        <v>325</v>
      </c>
      <c r="B110" s="40" t="s">
        <v>326</v>
      </c>
      <c r="C110" s="18" t="s">
        <v>327</v>
      </c>
      <c r="D110" s="41" t="s">
        <v>28</v>
      </c>
      <c r="E110" s="42" t="s">
        <v>28</v>
      </c>
      <c r="F110" s="18" t="s">
        <v>279</v>
      </c>
      <c r="G110" s="43" t="s">
        <v>30</v>
      </c>
      <c r="H110" s="22"/>
      <c r="I110" s="45">
        <v>400000</v>
      </c>
      <c r="J110" s="21" t="s">
        <v>31</v>
      </c>
      <c r="K110" s="18" t="s">
        <v>280</v>
      </c>
      <c r="L110" s="53"/>
      <c r="M110" s="22"/>
      <c r="N110" s="233" t="s">
        <v>107</v>
      </c>
      <c r="O110" s="233" t="s">
        <v>107</v>
      </c>
      <c r="P110" s="233" t="s">
        <v>107</v>
      </c>
      <c r="Q110" s="233" t="s">
        <v>107</v>
      </c>
      <c r="R110" s="233" t="s">
        <v>107</v>
      </c>
      <c r="S110" s="234">
        <v>1</v>
      </c>
      <c r="T110" s="233"/>
      <c r="U110" s="233"/>
      <c r="V110" s="233"/>
      <c r="W110" s="234"/>
      <c r="X110" s="49"/>
      <c r="Y110" s="50"/>
    </row>
    <row r="111" spans="1:25" ht="45">
      <c r="A111" s="91">
        <v>108</v>
      </c>
      <c r="B111" s="110" t="s">
        <v>328</v>
      </c>
      <c r="C111" s="15" t="s">
        <v>329</v>
      </c>
      <c r="D111" s="93" t="s">
        <v>28</v>
      </c>
      <c r="E111" s="94" t="s">
        <v>28</v>
      </c>
      <c r="F111" s="68" t="s">
        <v>330</v>
      </c>
      <c r="G111" s="107" t="s">
        <v>30</v>
      </c>
      <c r="H111" s="33">
        <f>0.3048*73</f>
        <v>22.250400000000003</v>
      </c>
      <c r="I111" s="31">
        <v>300000</v>
      </c>
      <c r="J111" s="96" t="s">
        <v>31</v>
      </c>
      <c r="K111" s="15"/>
      <c r="L111" s="54"/>
      <c r="M111" s="38"/>
      <c r="N111" s="233" t="s">
        <v>107</v>
      </c>
      <c r="O111" s="233" t="s">
        <v>107</v>
      </c>
      <c r="P111" s="233" t="s">
        <v>107</v>
      </c>
      <c r="Q111" s="233" t="s">
        <v>107</v>
      </c>
      <c r="R111" s="233" t="s">
        <v>107</v>
      </c>
      <c r="S111" s="233" t="s">
        <v>107</v>
      </c>
      <c r="T111" s="233" t="s">
        <v>107</v>
      </c>
      <c r="U111" s="233" t="s">
        <v>107</v>
      </c>
      <c r="V111" s="233" t="s">
        <v>107</v>
      </c>
      <c r="W111" s="234">
        <v>1</v>
      </c>
      <c r="X111" s="99"/>
      <c r="Y111" s="100"/>
    </row>
    <row r="112" spans="1:25" ht="30">
      <c r="A112" s="91">
        <v>109</v>
      </c>
      <c r="B112" s="110" t="s">
        <v>331</v>
      </c>
      <c r="C112" s="15" t="s">
        <v>332</v>
      </c>
      <c r="D112" s="93" t="s">
        <v>28</v>
      </c>
      <c r="E112" s="94" t="s">
        <v>28</v>
      </c>
      <c r="F112" s="68" t="s">
        <v>330</v>
      </c>
      <c r="G112" s="107" t="s">
        <v>30</v>
      </c>
      <c r="H112" s="33">
        <f>0.3048*102</f>
        <v>31.089600000000001</v>
      </c>
      <c r="I112" s="31">
        <v>300000</v>
      </c>
      <c r="J112" s="96" t="s">
        <v>31</v>
      </c>
      <c r="K112" s="68" t="s">
        <v>333</v>
      </c>
      <c r="L112" s="54"/>
      <c r="M112" s="38"/>
      <c r="N112" s="115" t="s">
        <v>107</v>
      </c>
      <c r="O112" s="115" t="s">
        <v>107</v>
      </c>
      <c r="P112" s="115" t="s">
        <v>107</v>
      </c>
      <c r="Q112" s="115" t="s">
        <v>107</v>
      </c>
      <c r="R112" s="115" t="s">
        <v>107</v>
      </c>
      <c r="S112" s="234">
        <v>1</v>
      </c>
      <c r="T112" s="99"/>
      <c r="U112" s="99"/>
      <c r="V112" s="99"/>
      <c r="W112" s="116"/>
      <c r="X112" s="99"/>
      <c r="Y112" s="100"/>
    </row>
    <row r="113" spans="1:25" ht="30">
      <c r="A113" s="91">
        <v>110</v>
      </c>
      <c r="B113" s="110" t="s">
        <v>334</v>
      </c>
      <c r="C113" s="15" t="s">
        <v>335</v>
      </c>
      <c r="D113" s="93" t="s">
        <v>28</v>
      </c>
      <c r="E113" s="94" t="s">
        <v>28</v>
      </c>
      <c r="F113" s="68" t="s">
        <v>330</v>
      </c>
      <c r="G113" s="107" t="s">
        <v>30</v>
      </c>
      <c r="H113" s="33">
        <f>0.3048*133</f>
        <v>40.538400000000003</v>
      </c>
      <c r="I113" s="31">
        <v>200000</v>
      </c>
      <c r="J113" s="96" t="s">
        <v>31</v>
      </c>
      <c r="K113" s="68" t="s">
        <v>333</v>
      </c>
      <c r="L113" s="54"/>
      <c r="M113" s="38"/>
      <c r="N113" s="115" t="s">
        <v>107</v>
      </c>
      <c r="O113" s="115" t="s">
        <v>107</v>
      </c>
      <c r="P113" s="115" t="s">
        <v>107</v>
      </c>
      <c r="Q113" s="115" t="s">
        <v>107</v>
      </c>
      <c r="R113" s="115" t="s">
        <v>107</v>
      </c>
      <c r="S113" s="234">
        <v>1</v>
      </c>
      <c r="T113" s="99"/>
      <c r="U113" s="99"/>
      <c r="V113" s="99"/>
      <c r="W113" s="116"/>
      <c r="X113" s="99"/>
      <c r="Y113" s="100"/>
    </row>
    <row r="114" spans="1:25" s="51" customFormat="1" ht="60">
      <c r="A114" s="39" t="s">
        <v>336</v>
      </c>
      <c r="B114" s="40" t="s">
        <v>337</v>
      </c>
      <c r="C114" s="18" t="s">
        <v>338</v>
      </c>
      <c r="D114" s="41" t="s">
        <v>28</v>
      </c>
      <c r="E114" s="42" t="s">
        <v>28</v>
      </c>
      <c r="F114" s="18" t="s">
        <v>279</v>
      </c>
      <c r="G114" s="43" t="s">
        <v>30</v>
      </c>
      <c r="H114" s="22"/>
      <c r="I114" s="45">
        <v>300000</v>
      </c>
      <c r="J114" s="21" t="s">
        <v>31</v>
      </c>
      <c r="K114" s="18"/>
      <c r="L114" s="53"/>
      <c r="M114" s="22"/>
      <c r="N114" s="115" t="s">
        <v>107</v>
      </c>
      <c r="O114" s="115" t="s">
        <v>107</v>
      </c>
      <c r="P114" s="115" t="s">
        <v>107</v>
      </c>
      <c r="Q114" s="115" t="s">
        <v>107</v>
      </c>
      <c r="R114" s="115" t="s">
        <v>107</v>
      </c>
      <c r="S114" s="234">
        <v>1</v>
      </c>
      <c r="T114" s="46"/>
      <c r="U114" s="46"/>
      <c r="V114" s="46"/>
      <c r="W114" s="48"/>
      <c r="X114" s="49"/>
      <c r="Y114" s="50"/>
    </row>
    <row r="115" spans="1:25" ht="45">
      <c r="A115" s="91">
        <v>112</v>
      </c>
      <c r="B115" s="110" t="s">
        <v>339</v>
      </c>
      <c r="C115" s="15" t="s">
        <v>340</v>
      </c>
      <c r="D115" s="93" t="s">
        <v>28</v>
      </c>
      <c r="E115" s="94" t="s">
        <v>28</v>
      </c>
      <c r="F115" s="68" t="s">
        <v>341</v>
      </c>
      <c r="G115" s="107" t="s">
        <v>30</v>
      </c>
      <c r="H115" s="68">
        <f>0.3048*(367+72+18)</f>
        <v>139.2936</v>
      </c>
      <c r="I115" s="114">
        <v>1000000</v>
      </c>
      <c r="J115" s="96" t="s">
        <v>31</v>
      </c>
      <c r="K115" s="68" t="s">
        <v>342</v>
      </c>
      <c r="L115" s="54">
        <v>970000</v>
      </c>
      <c r="M115" s="194">
        <f t="shared" ref="M115:M119" si="18">L115/(I115-I115*3%)</f>
        <v>1</v>
      </c>
      <c r="N115" s="233" t="s">
        <v>107</v>
      </c>
      <c r="O115" s="233" t="s">
        <v>107</v>
      </c>
      <c r="P115" s="233" t="s">
        <v>107</v>
      </c>
      <c r="Q115" s="233" t="s">
        <v>107</v>
      </c>
      <c r="R115" s="233" t="s">
        <v>107</v>
      </c>
      <c r="S115" s="233" t="s">
        <v>107</v>
      </c>
      <c r="T115" s="233" t="s">
        <v>107</v>
      </c>
      <c r="U115" s="233">
        <f t="shared" ref="U115:V123" si="19">-U116</f>
        <v>0</v>
      </c>
      <c r="V115" s="233">
        <f t="shared" si="19"/>
        <v>0</v>
      </c>
      <c r="W115" s="234">
        <v>1</v>
      </c>
      <c r="X115" s="99"/>
      <c r="Y115" s="100"/>
    </row>
    <row r="116" spans="1:25" ht="60">
      <c r="A116" s="91">
        <v>113</v>
      </c>
      <c r="B116" s="110" t="s">
        <v>343</v>
      </c>
      <c r="C116" s="15" t="s">
        <v>344</v>
      </c>
      <c r="D116" s="93" t="s">
        <v>28</v>
      </c>
      <c r="E116" s="94" t="s">
        <v>28</v>
      </c>
      <c r="F116" s="68" t="s">
        <v>341</v>
      </c>
      <c r="G116" s="107" t="s">
        <v>30</v>
      </c>
      <c r="H116" s="33">
        <f>0.3048*105</f>
        <v>32.004000000000005</v>
      </c>
      <c r="I116" s="114">
        <v>250000</v>
      </c>
      <c r="J116" s="96" t="s">
        <v>31</v>
      </c>
      <c r="K116" s="68" t="s">
        <v>345</v>
      </c>
      <c r="L116" s="54">
        <v>242500</v>
      </c>
      <c r="M116" s="194">
        <f t="shared" si="18"/>
        <v>1</v>
      </c>
      <c r="N116" s="233" t="s">
        <v>107</v>
      </c>
      <c r="O116" s="233" t="s">
        <v>107</v>
      </c>
      <c r="P116" s="233" t="s">
        <v>107</v>
      </c>
      <c r="Q116" s="233" t="s">
        <v>107</v>
      </c>
      <c r="R116" s="233" t="s">
        <v>107</v>
      </c>
      <c r="S116" s="233" t="s">
        <v>107</v>
      </c>
      <c r="T116" s="233" t="s">
        <v>107</v>
      </c>
      <c r="U116" s="233">
        <f t="shared" si="19"/>
        <v>0</v>
      </c>
      <c r="V116" s="233">
        <f t="shared" si="19"/>
        <v>0</v>
      </c>
      <c r="W116" s="234">
        <v>1</v>
      </c>
      <c r="X116" s="99"/>
      <c r="Y116" s="100"/>
    </row>
    <row r="117" spans="1:25" ht="60">
      <c r="A117" s="91">
        <v>114</v>
      </c>
      <c r="B117" s="110" t="s">
        <v>346</v>
      </c>
      <c r="C117" s="15" t="s">
        <v>347</v>
      </c>
      <c r="D117" s="93" t="s">
        <v>28</v>
      </c>
      <c r="E117" s="94" t="s">
        <v>28</v>
      </c>
      <c r="F117" s="68" t="s">
        <v>341</v>
      </c>
      <c r="G117" s="107" t="s">
        <v>30</v>
      </c>
      <c r="H117" s="33">
        <f>0.3048*340</f>
        <v>103.63200000000001</v>
      </c>
      <c r="I117" s="114">
        <v>1000000</v>
      </c>
      <c r="J117" s="96" t="s">
        <v>31</v>
      </c>
      <c r="K117" s="68" t="s">
        <v>345</v>
      </c>
      <c r="L117" s="54">
        <v>970000</v>
      </c>
      <c r="M117" s="194">
        <f t="shared" si="18"/>
        <v>1</v>
      </c>
      <c r="N117" s="233" t="s">
        <v>107</v>
      </c>
      <c r="O117" s="233" t="s">
        <v>107</v>
      </c>
      <c r="P117" s="233" t="s">
        <v>107</v>
      </c>
      <c r="Q117" s="233" t="s">
        <v>107</v>
      </c>
      <c r="R117" s="233" t="s">
        <v>107</v>
      </c>
      <c r="S117" s="233" t="s">
        <v>107</v>
      </c>
      <c r="T117" s="233" t="s">
        <v>107</v>
      </c>
      <c r="U117" s="233">
        <f t="shared" si="19"/>
        <v>0</v>
      </c>
      <c r="V117" s="233">
        <f t="shared" si="19"/>
        <v>0</v>
      </c>
      <c r="W117" s="234">
        <v>1</v>
      </c>
      <c r="X117" s="99"/>
      <c r="Y117" s="100"/>
    </row>
    <row r="118" spans="1:25" ht="60">
      <c r="A118" s="91">
        <v>115</v>
      </c>
      <c r="B118" s="110" t="s">
        <v>348</v>
      </c>
      <c r="C118" s="15" t="s">
        <v>349</v>
      </c>
      <c r="D118" s="93" t="s">
        <v>28</v>
      </c>
      <c r="E118" s="94" t="s">
        <v>28</v>
      </c>
      <c r="F118" s="68" t="s">
        <v>341</v>
      </c>
      <c r="G118" s="107" t="s">
        <v>30</v>
      </c>
      <c r="H118" s="33">
        <f>0.3048*180</f>
        <v>54.864000000000004</v>
      </c>
      <c r="I118" s="114">
        <v>400000</v>
      </c>
      <c r="J118" s="96" t="s">
        <v>31</v>
      </c>
      <c r="K118" s="68" t="s">
        <v>345</v>
      </c>
      <c r="L118" s="54">
        <v>388000</v>
      </c>
      <c r="M118" s="194">
        <f t="shared" si="18"/>
        <v>1</v>
      </c>
      <c r="N118" s="233" t="s">
        <v>107</v>
      </c>
      <c r="O118" s="233" t="s">
        <v>107</v>
      </c>
      <c r="P118" s="233" t="s">
        <v>107</v>
      </c>
      <c r="Q118" s="233" t="s">
        <v>107</v>
      </c>
      <c r="R118" s="233" t="s">
        <v>107</v>
      </c>
      <c r="S118" s="233" t="s">
        <v>107</v>
      </c>
      <c r="T118" s="233" t="s">
        <v>107</v>
      </c>
      <c r="U118" s="233">
        <f t="shared" si="19"/>
        <v>0</v>
      </c>
      <c r="V118" s="233">
        <f t="shared" si="19"/>
        <v>0</v>
      </c>
      <c r="W118" s="234">
        <v>1</v>
      </c>
      <c r="X118" s="99"/>
      <c r="Y118" s="100"/>
    </row>
    <row r="119" spans="1:25" ht="60">
      <c r="A119" s="91">
        <v>116</v>
      </c>
      <c r="B119" s="110" t="s">
        <v>350</v>
      </c>
      <c r="C119" s="15" t="s">
        <v>351</v>
      </c>
      <c r="D119" s="93" t="s">
        <v>28</v>
      </c>
      <c r="E119" s="94" t="s">
        <v>28</v>
      </c>
      <c r="F119" s="68" t="s">
        <v>341</v>
      </c>
      <c r="G119" s="107" t="s">
        <v>30</v>
      </c>
      <c r="H119" s="33">
        <f>0.3048*80</f>
        <v>24.384</v>
      </c>
      <c r="I119" s="114">
        <v>250000</v>
      </c>
      <c r="J119" s="96" t="s">
        <v>31</v>
      </c>
      <c r="K119" s="15" t="s">
        <v>345</v>
      </c>
      <c r="L119" s="54">
        <v>242500</v>
      </c>
      <c r="M119" s="194">
        <f t="shared" si="18"/>
        <v>1</v>
      </c>
      <c r="N119" s="233" t="s">
        <v>107</v>
      </c>
      <c r="O119" s="233" t="s">
        <v>107</v>
      </c>
      <c r="P119" s="233" t="s">
        <v>107</v>
      </c>
      <c r="Q119" s="233" t="s">
        <v>107</v>
      </c>
      <c r="R119" s="233" t="s">
        <v>107</v>
      </c>
      <c r="S119" s="233" t="s">
        <v>107</v>
      </c>
      <c r="T119" s="233" t="s">
        <v>107</v>
      </c>
      <c r="U119" s="233">
        <f t="shared" si="19"/>
        <v>0</v>
      </c>
      <c r="V119" s="233">
        <f t="shared" si="19"/>
        <v>0</v>
      </c>
      <c r="W119" s="234">
        <v>1</v>
      </c>
      <c r="X119" s="99"/>
      <c r="Y119" s="100"/>
    </row>
    <row r="120" spans="1:25" ht="60">
      <c r="A120" s="91">
        <v>117</v>
      </c>
      <c r="B120" s="110" t="s">
        <v>352</v>
      </c>
      <c r="C120" s="15" t="s">
        <v>353</v>
      </c>
      <c r="D120" s="93" t="s">
        <v>28</v>
      </c>
      <c r="E120" s="94" t="s">
        <v>28</v>
      </c>
      <c r="F120" s="68" t="s">
        <v>341</v>
      </c>
      <c r="G120" s="107" t="s">
        <v>30</v>
      </c>
      <c r="H120" s="33">
        <f>0.3048*182</f>
        <v>55.473600000000005</v>
      </c>
      <c r="I120" s="114">
        <v>500000</v>
      </c>
      <c r="J120" s="96" t="s">
        <v>31</v>
      </c>
      <c r="K120" s="68" t="s">
        <v>345</v>
      </c>
      <c r="L120" s="54"/>
      <c r="M120" s="38"/>
      <c r="N120" s="233" t="s">
        <v>107</v>
      </c>
      <c r="O120" s="233" t="s">
        <v>107</v>
      </c>
      <c r="P120" s="233" t="s">
        <v>107</v>
      </c>
      <c r="Q120" s="233" t="s">
        <v>107</v>
      </c>
      <c r="R120" s="233" t="s">
        <v>107</v>
      </c>
      <c r="S120" s="233" t="s">
        <v>107</v>
      </c>
      <c r="T120" s="233" t="s">
        <v>107</v>
      </c>
      <c r="U120" s="233">
        <f t="shared" si="19"/>
        <v>0</v>
      </c>
      <c r="V120" s="233">
        <f t="shared" si="19"/>
        <v>0</v>
      </c>
      <c r="W120" s="234">
        <v>1</v>
      </c>
      <c r="X120" s="99"/>
      <c r="Y120" s="100"/>
    </row>
    <row r="121" spans="1:25" ht="60">
      <c r="A121" s="91">
        <v>118</v>
      </c>
      <c r="B121" s="110" t="s">
        <v>354</v>
      </c>
      <c r="C121" s="15" t="s">
        <v>355</v>
      </c>
      <c r="D121" s="93" t="s">
        <v>28</v>
      </c>
      <c r="E121" s="94" t="s">
        <v>28</v>
      </c>
      <c r="F121" s="68" t="s">
        <v>356</v>
      </c>
      <c r="G121" s="107" t="s">
        <v>30</v>
      </c>
      <c r="H121" s="33">
        <f>0.3048*342</f>
        <v>104.24160000000001</v>
      </c>
      <c r="I121" s="114">
        <v>1000000</v>
      </c>
      <c r="J121" s="96" t="s">
        <v>31</v>
      </c>
      <c r="K121" s="119" t="s">
        <v>345</v>
      </c>
      <c r="L121" s="54">
        <f>970000</f>
        <v>970000</v>
      </c>
      <c r="M121" s="194">
        <f t="shared" ref="M121:M122" si="20">L121/(I121-I121*3%)</f>
        <v>1</v>
      </c>
      <c r="N121" s="233" t="s">
        <v>107</v>
      </c>
      <c r="O121" s="233" t="s">
        <v>107</v>
      </c>
      <c r="P121" s="233" t="s">
        <v>107</v>
      </c>
      <c r="Q121" s="233" t="s">
        <v>107</v>
      </c>
      <c r="R121" s="233" t="s">
        <v>107</v>
      </c>
      <c r="S121" s="233" t="s">
        <v>107</v>
      </c>
      <c r="T121" s="233" t="s">
        <v>107</v>
      </c>
      <c r="U121" s="233">
        <f t="shared" si="19"/>
        <v>0</v>
      </c>
      <c r="V121" s="233">
        <f t="shared" si="19"/>
        <v>0</v>
      </c>
      <c r="W121" s="234">
        <v>1</v>
      </c>
      <c r="X121" s="99"/>
      <c r="Y121" s="100"/>
    </row>
    <row r="122" spans="1:25" ht="60">
      <c r="A122" s="91">
        <v>119</v>
      </c>
      <c r="B122" s="110" t="s">
        <v>357</v>
      </c>
      <c r="C122" s="15" t="s">
        <v>358</v>
      </c>
      <c r="D122" s="93" t="s">
        <v>28</v>
      </c>
      <c r="E122" s="94" t="s">
        <v>28</v>
      </c>
      <c r="F122" s="68" t="s">
        <v>356</v>
      </c>
      <c r="G122" s="107" t="s">
        <v>30</v>
      </c>
      <c r="H122" s="68">
        <f>0.3048*(68+80)</f>
        <v>45.110400000000006</v>
      </c>
      <c r="I122" s="114">
        <v>400000</v>
      </c>
      <c r="J122" s="96" t="s">
        <v>31</v>
      </c>
      <c r="K122" s="119" t="s">
        <v>345</v>
      </c>
      <c r="L122" s="54">
        <v>388000</v>
      </c>
      <c r="M122" s="194">
        <f t="shared" si="20"/>
        <v>1</v>
      </c>
      <c r="N122" s="233" t="s">
        <v>107</v>
      </c>
      <c r="O122" s="233" t="s">
        <v>107</v>
      </c>
      <c r="P122" s="233" t="s">
        <v>107</v>
      </c>
      <c r="Q122" s="233" t="s">
        <v>107</v>
      </c>
      <c r="R122" s="233" t="s">
        <v>107</v>
      </c>
      <c r="S122" s="233" t="s">
        <v>107</v>
      </c>
      <c r="T122" s="233" t="s">
        <v>107</v>
      </c>
      <c r="U122" s="233">
        <f t="shared" si="19"/>
        <v>0</v>
      </c>
      <c r="V122" s="233">
        <f t="shared" si="19"/>
        <v>0</v>
      </c>
      <c r="W122" s="234">
        <v>1</v>
      </c>
      <c r="X122" s="247" t="s">
        <v>359</v>
      </c>
      <c r="Y122" s="100"/>
    </row>
    <row r="123" spans="1:25" ht="60">
      <c r="A123" s="91">
        <v>120</v>
      </c>
      <c r="B123" s="110" t="s">
        <v>360</v>
      </c>
      <c r="C123" s="15" t="s">
        <v>361</v>
      </c>
      <c r="D123" s="93" t="s">
        <v>28</v>
      </c>
      <c r="E123" s="94" t="s">
        <v>28</v>
      </c>
      <c r="F123" s="68" t="s">
        <v>356</v>
      </c>
      <c r="G123" s="107" t="s">
        <v>30</v>
      </c>
      <c r="H123" s="33">
        <f>0.3048*69</f>
        <v>21.031200000000002</v>
      </c>
      <c r="I123" s="114">
        <v>200000</v>
      </c>
      <c r="J123" s="96" t="s">
        <v>31</v>
      </c>
      <c r="K123" s="68" t="s">
        <v>345</v>
      </c>
      <c r="L123" s="54"/>
      <c r="M123" s="38"/>
      <c r="N123" s="233" t="s">
        <v>107</v>
      </c>
      <c r="O123" s="233" t="s">
        <v>107</v>
      </c>
      <c r="P123" s="233" t="s">
        <v>107</v>
      </c>
      <c r="Q123" s="233" t="s">
        <v>107</v>
      </c>
      <c r="R123" s="233" t="s">
        <v>107</v>
      </c>
      <c r="S123" s="233" t="s">
        <v>107</v>
      </c>
      <c r="T123" s="233" t="s">
        <v>107</v>
      </c>
      <c r="U123" s="233">
        <f t="shared" si="19"/>
        <v>0</v>
      </c>
      <c r="V123" s="233">
        <f t="shared" si="19"/>
        <v>0</v>
      </c>
      <c r="W123" s="234">
        <v>1</v>
      </c>
      <c r="X123" s="99"/>
      <c r="Y123" s="100"/>
    </row>
    <row r="124" spans="1:25" ht="45">
      <c r="A124" s="91">
        <v>121</v>
      </c>
      <c r="B124" s="110" t="s">
        <v>362</v>
      </c>
      <c r="C124" s="15" t="s">
        <v>363</v>
      </c>
      <c r="D124" s="93" t="s">
        <v>28</v>
      </c>
      <c r="E124" s="94" t="s">
        <v>28</v>
      </c>
      <c r="F124" s="111" t="s">
        <v>364</v>
      </c>
      <c r="G124" s="107" t="s">
        <v>30</v>
      </c>
      <c r="H124" s="38">
        <f>0.3048*114</f>
        <v>34.747199999999999</v>
      </c>
      <c r="I124" s="31">
        <v>300000</v>
      </c>
      <c r="J124" s="96" t="s">
        <v>31</v>
      </c>
      <c r="K124" s="68" t="s">
        <v>40</v>
      </c>
      <c r="L124" s="54"/>
      <c r="M124" s="38"/>
      <c r="N124" s="233" t="s">
        <v>107</v>
      </c>
      <c r="O124" s="233" t="s">
        <v>107</v>
      </c>
      <c r="P124" s="233" t="s">
        <v>107</v>
      </c>
      <c r="Q124" s="233" t="s">
        <v>107</v>
      </c>
      <c r="R124" s="115">
        <v>1</v>
      </c>
      <c r="S124" s="116"/>
      <c r="T124" s="99"/>
      <c r="U124" s="99"/>
      <c r="V124" s="99"/>
      <c r="W124" s="116"/>
      <c r="X124" s="99"/>
      <c r="Y124" s="2"/>
    </row>
    <row r="125" spans="1:25" ht="30">
      <c r="A125" s="91">
        <v>122</v>
      </c>
      <c r="B125" s="110" t="s">
        <v>365</v>
      </c>
      <c r="C125" s="15" t="s">
        <v>366</v>
      </c>
      <c r="D125" s="93" t="s">
        <v>28</v>
      </c>
      <c r="E125" s="94" t="s">
        <v>28</v>
      </c>
      <c r="F125" s="111" t="s">
        <v>364</v>
      </c>
      <c r="G125" s="107" t="s">
        <v>30</v>
      </c>
      <c r="H125" s="33">
        <f>0.3048*178</f>
        <v>54.254400000000004</v>
      </c>
      <c r="I125" s="31">
        <v>450000</v>
      </c>
      <c r="J125" s="96" t="s">
        <v>31</v>
      </c>
      <c r="K125" s="68"/>
      <c r="L125" s="54"/>
      <c r="M125" s="38"/>
      <c r="N125" s="233" t="s">
        <v>107</v>
      </c>
      <c r="O125" s="233" t="s">
        <v>107</v>
      </c>
      <c r="P125" s="233" t="s">
        <v>107</v>
      </c>
      <c r="Q125" s="233" t="s">
        <v>107</v>
      </c>
      <c r="R125" s="115">
        <v>1</v>
      </c>
      <c r="S125" s="116"/>
      <c r="T125" s="99"/>
      <c r="U125" s="99"/>
      <c r="V125" s="99"/>
      <c r="W125" s="116"/>
      <c r="X125" s="99"/>
      <c r="Y125" s="100"/>
    </row>
    <row r="126" spans="1:25" ht="30">
      <c r="A126" s="91">
        <v>123</v>
      </c>
      <c r="B126" s="110" t="s">
        <v>367</v>
      </c>
      <c r="C126" s="15" t="s">
        <v>368</v>
      </c>
      <c r="D126" s="93" t="s">
        <v>28</v>
      </c>
      <c r="E126" s="94" t="s">
        <v>28</v>
      </c>
      <c r="F126" s="111" t="s">
        <v>364</v>
      </c>
      <c r="G126" s="107" t="s">
        <v>30</v>
      </c>
      <c r="H126" s="38">
        <f>0.3048*147</f>
        <v>44.805600000000005</v>
      </c>
      <c r="I126" s="31">
        <v>300000</v>
      </c>
      <c r="J126" s="96" t="s">
        <v>31</v>
      </c>
      <c r="K126" s="15"/>
      <c r="L126" s="54"/>
      <c r="M126" s="38"/>
      <c r="N126" s="115" t="s">
        <v>107</v>
      </c>
      <c r="O126" s="115"/>
      <c r="P126" s="102"/>
      <c r="Q126" s="102"/>
      <c r="R126" s="115">
        <v>1</v>
      </c>
      <c r="S126" s="116"/>
      <c r="T126" s="99"/>
      <c r="U126" s="99"/>
      <c r="V126" s="99"/>
      <c r="W126" s="116"/>
      <c r="X126" s="99"/>
      <c r="Y126" s="100" t="s">
        <v>369</v>
      </c>
    </row>
    <row r="127" spans="1:25" ht="30">
      <c r="A127" s="91">
        <v>124</v>
      </c>
      <c r="B127" s="110" t="s">
        <v>370</v>
      </c>
      <c r="C127" s="111" t="s">
        <v>371</v>
      </c>
      <c r="D127" s="93" t="s">
        <v>28</v>
      </c>
      <c r="E127" s="94" t="s">
        <v>28</v>
      </c>
      <c r="F127" s="111" t="s">
        <v>364</v>
      </c>
      <c r="G127" s="107" t="s">
        <v>30</v>
      </c>
      <c r="H127" s="38">
        <f>0.3048*71</f>
        <v>21.640800000000002</v>
      </c>
      <c r="I127" s="31">
        <v>200000</v>
      </c>
      <c r="J127" s="96" t="s">
        <v>31</v>
      </c>
      <c r="K127" s="15"/>
      <c r="L127" s="54"/>
      <c r="M127" s="38"/>
      <c r="N127" s="233" t="s">
        <v>107</v>
      </c>
      <c r="O127" s="233" t="s">
        <v>107</v>
      </c>
      <c r="P127" s="233" t="s">
        <v>107</v>
      </c>
      <c r="Q127" s="233" t="s">
        <v>107</v>
      </c>
      <c r="R127" s="115">
        <v>1</v>
      </c>
      <c r="S127" s="116"/>
      <c r="T127" s="99"/>
      <c r="U127" s="99"/>
      <c r="V127" s="99"/>
      <c r="W127" s="116"/>
      <c r="X127" s="99"/>
      <c r="Y127" s="100" t="s">
        <v>369</v>
      </c>
    </row>
    <row r="128" spans="1:25" ht="30">
      <c r="A128" s="91">
        <v>125</v>
      </c>
      <c r="B128" s="110" t="s">
        <v>372</v>
      </c>
      <c r="C128" s="111" t="s">
        <v>373</v>
      </c>
      <c r="D128" s="93" t="s">
        <v>28</v>
      </c>
      <c r="E128" s="94" t="s">
        <v>28</v>
      </c>
      <c r="F128" s="111" t="s">
        <v>364</v>
      </c>
      <c r="G128" s="107" t="s">
        <v>30</v>
      </c>
      <c r="H128" s="33">
        <f>0.3048*(100+230)</f>
        <v>100.584</v>
      </c>
      <c r="I128" s="31">
        <v>850000</v>
      </c>
      <c r="J128" s="96" t="s">
        <v>31</v>
      </c>
      <c r="K128" s="15"/>
      <c r="L128" s="54"/>
      <c r="M128" s="38"/>
      <c r="N128" s="233" t="s">
        <v>107</v>
      </c>
      <c r="O128" s="233" t="s">
        <v>107</v>
      </c>
      <c r="P128" s="233" t="s">
        <v>107</v>
      </c>
      <c r="Q128" s="233" t="s">
        <v>107</v>
      </c>
      <c r="R128" s="115">
        <v>1</v>
      </c>
      <c r="S128" s="116"/>
      <c r="T128" s="99"/>
      <c r="U128" s="99"/>
      <c r="V128" s="99"/>
      <c r="W128" s="116"/>
      <c r="X128" s="99"/>
      <c r="Y128" s="100" t="s">
        <v>369</v>
      </c>
    </row>
    <row r="129" spans="1:25" s="51" customFormat="1" ht="30">
      <c r="A129" s="39" t="s">
        <v>374</v>
      </c>
      <c r="B129" s="40" t="s">
        <v>375</v>
      </c>
      <c r="C129" s="18" t="s">
        <v>376</v>
      </c>
      <c r="D129" s="41" t="s">
        <v>28</v>
      </c>
      <c r="E129" s="42" t="s">
        <v>28</v>
      </c>
      <c r="F129" s="18" t="s">
        <v>377</v>
      </c>
      <c r="G129" s="43" t="s">
        <v>30</v>
      </c>
      <c r="H129" s="22"/>
      <c r="I129" s="45">
        <v>1250000</v>
      </c>
      <c r="J129" s="21" t="s">
        <v>31</v>
      </c>
      <c r="K129" s="18"/>
      <c r="L129" s="53"/>
      <c r="M129" s="22"/>
      <c r="N129" s="233" t="s">
        <v>107</v>
      </c>
      <c r="O129" s="233" t="s">
        <v>107</v>
      </c>
      <c r="P129" s="233" t="s">
        <v>107</v>
      </c>
      <c r="Q129" s="233" t="s">
        <v>107</v>
      </c>
      <c r="R129" s="115">
        <v>1</v>
      </c>
      <c r="S129" s="48"/>
      <c r="T129" s="49"/>
      <c r="U129" s="49"/>
      <c r="V129" s="49"/>
      <c r="W129" s="48"/>
      <c r="X129" s="49"/>
      <c r="Y129" s="50"/>
    </row>
    <row r="130" spans="1:25" ht="45">
      <c r="A130" s="91">
        <v>127</v>
      </c>
      <c r="B130" s="110" t="s">
        <v>378</v>
      </c>
      <c r="C130" s="111" t="s">
        <v>379</v>
      </c>
      <c r="D130" s="93" t="s">
        <v>28</v>
      </c>
      <c r="E130" s="94" t="s">
        <v>28</v>
      </c>
      <c r="F130" s="57" t="s">
        <v>380</v>
      </c>
      <c r="G130" s="107" t="s">
        <v>30</v>
      </c>
      <c r="H130" s="33">
        <f>0.3048*159</f>
        <v>48.463200000000001</v>
      </c>
      <c r="I130" s="31">
        <v>450000</v>
      </c>
      <c r="J130" s="96" t="s">
        <v>31</v>
      </c>
      <c r="K130" s="68" t="s">
        <v>381</v>
      </c>
      <c r="L130" s="54">
        <v>436500</v>
      </c>
      <c r="M130" s="194">
        <f t="shared" ref="M130:M132" si="21">L130/(I130-I130*3%)</f>
        <v>1</v>
      </c>
      <c r="N130" s="233" t="s">
        <v>107</v>
      </c>
      <c r="O130" s="233" t="s">
        <v>107</v>
      </c>
      <c r="P130" s="233" t="s">
        <v>107</v>
      </c>
      <c r="Q130" s="233" t="s">
        <v>107</v>
      </c>
      <c r="R130" s="233" t="s">
        <v>107</v>
      </c>
      <c r="S130" s="233" t="s">
        <v>107</v>
      </c>
      <c r="T130" s="233" t="s">
        <v>107</v>
      </c>
      <c r="U130" s="233">
        <f t="shared" ref="U130:V132" si="22">-U131</f>
        <v>0</v>
      </c>
      <c r="V130" s="233">
        <f t="shared" si="22"/>
        <v>0</v>
      </c>
      <c r="W130" s="234">
        <v>1</v>
      </c>
      <c r="X130" s="99"/>
      <c r="Y130" s="100"/>
    </row>
    <row r="131" spans="1:25" ht="45">
      <c r="A131" s="91">
        <v>128</v>
      </c>
      <c r="B131" s="110" t="s">
        <v>382</v>
      </c>
      <c r="C131" s="111" t="s">
        <v>383</v>
      </c>
      <c r="D131" s="93" t="s">
        <v>28</v>
      </c>
      <c r="E131" s="94" t="s">
        <v>28</v>
      </c>
      <c r="F131" s="57" t="s">
        <v>380</v>
      </c>
      <c r="G131" s="107" t="s">
        <v>30</v>
      </c>
      <c r="H131" s="33">
        <f>0.3048*183</f>
        <v>55.778400000000005</v>
      </c>
      <c r="I131" s="31">
        <v>550000</v>
      </c>
      <c r="J131" s="96" t="s">
        <v>31</v>
      </c>
      <c r="K131" s="68" t="s">
        <v>381</v>
      </c>
      <c r="L131" s="54">
        <v>533500</v>
      </c>
      <c r="M131" s="194">
        <f t="shared" si="21"/>
        <v>1</v>
      </c>
      <c r="N131" s="233" t="s">
        <v>107</v>
      </c>
      <c r="O131" s="233" t="s">
        <v>107</v>
      </c>
      <c r="P131" s="233" t="s">
        <v>107</v>
      </c>
      <c r="Q131" s="233" t="s">
        <v>107</v>
      </c>
      <c r="R131" s="233" t="s">
        <v>107</v>
      </c>
      <c r="S131" s="233" t="s">
        <v>107</v>
      </c>
      <c r="T131" s="233" t="s">
        <v>107</v>
      </c>
      <c r="U131" s="233">
        <f t="shared" si="22"/>
        <v>0</v>
      </c>
      <c r="V131" s="233">
        <f t="shared" si="22"/>
        <v>0</v>
      </c>
      <c r="W131" s="234">
        <v>1</v>
      </c>
      <c r="X131" s="99"/>
      <c r="Y131" s="100"/>
    </row>
    <row r="132" spans="1:25" ht="45">
      <c r="A132" s="91">
        <v>129</v>
      </c>
      <c r="B132" s="110" t="s">
        <v>384</v>
      </c>
      <c r="C132" s="111" t="s">
        <v>385</v>
      </c>
      <c r="D132" s="93" t="s">
        <v>28</v>
      </c>
      <c r="E132" s="94" t="s">
        <v>28</v>
      </c>
      <c r="F132" s="57" t="s">
        <v>380</v>
      </c>
      <c r="G132" s="107" t="s">
        <v>30</v>
      </c>
      <c r="H132" s="33">
        <f>0.3048*422</f>
        <v>128.62560000000002</v>
      </c>
      <c r="I132" s="31">
        <v>1100000</v>
      </c>
      <c r="J132" s="96" t="s">
        <v>31</v>
      </c>
      <c r="K132" s="68" t="s">
        <v>386</v>
      </c>
      <c r="L132" s="54">
        <f>1067000</f>
        <v>1067000</v>
      </c>
      <c r="M132" s="194">
        <f t="shared" si="21"/>
        <v>1</v>
      </c>
      <c r="N132" s="233" t="s">
        <v>107</v>
      </c>
      <c r="O132" s="233" t="s">
        <v>107</v>
      </c>
      <c r="P132" s="233" t="s">
        <v>107</v>
      </c>
      <c r="Q132" s="233" t="s">
        <v>107</v>
      </c>
      <c r="R132" s="233" t="s">
        <v>107</v>
      </c>
      <c r="S132" s="233" t="s">
        <v>107</v>
      </c>
      <c r="T132" s="233" t="s">
        <v>107</v>
      </c>
      <c r="U132" s="233">
        <f t="shared" si="22"/>
        <v>0</v>
      </c>
      <c r="V132" s="233">
        <f t="shared" si="22"/>
        <v>0</v>
      </c>
      <c r="W132" s="234">
        <v>1</v>
      </c>
      <c r="X132" s="99"/>
      <c r="Y132" s="100"/>
    </row>
    <row r="133" spans="1:25" ht="30">
      <c r="A133" s="91">
        <v>130</v>
      </c>
      <c r="B133" s="110" t="s">
        <v>387</v>
      </c>
      <c r="C133" s="15" t="s">
        <v>388</v>
      </c>
      <c r="D133" s="93" t="s">
        <v>28</v>
      </c>
      <c r="E133" s="94" t="s">
        <v>28</v>
      </c>
      <c r="F133" s="15" t="s">
        <v>389</v>
      </c>
      <c r="G133" s="107" t="s">
        <v>30</v>
      </c>
      <c r="H133" s="33">
        <f>0.3048*276</f>
        <v>84.124800000000008</v>
      </c>
      <c r="I133" s="31">
        <v>600000</v>
      </c>
      <c r="J133" s="96" t="s">
        <v>31</v>
      </c>
      <c r="K133" s="15"/>
      <c r="L133" s="54"/>
      <c r="M133" s="38"/>
      <c r="N133" s="115" t="s">
        <v>107</v>
      </c>
      <c r="O133" s="115"/>
      <c r="P133" s="102"/>
      <c r="Q133" s="102"/>
      <c r="R133" s="115">
        <v>1</v>
      </c>
      <c r="S133" s="116"/>
      <c r="T133" s="99"/>
      <c r="U133" s="99"/>
      <c r="V133" s="99"/>
      <c r="W133" s="116"/>
      <c r="X133" s="99"/>
      <c r="Y133" s="100"/>
    </row>
    <row r="134" spans="1:25" ht="45">
      <c r="A134" s="91">
        <v>131</v>
      </c>
      <c r="B134" s="110" t="s">
        <v>390</v>
      </c>
      <c r="C134" s="15" t="s">
        <v>391</v>
      </c>
      <c r="D134" s="93" t="s">
        <v>28</v>
      </c>
      <c r="E134" s="94" t="s">
        <v>28</v>
      </c>
      <c r="F134" s="15" t="s">
        <v>392</v>
      </c>
      <c r="G134" s="107" t="s">
        <v>30</v>
      </c>
      <c r="H134" s="33">
        <v>92.99</v>
      </c>
      <c r="I134" s="114">
        <v>500000</v>
      </c>
      <c r="J134" s="96" t="s">
        <v>31</v>
      </c>
      <c r="K134" s="68" t="s">
        <v>393</v>
      </c>
      <c r="L134" s="54"/>
      <c r="M134" s="38"/>
      <c r="N134" s="115" t="s">
        <v>107</v>
      </c>
      <c r="O134" s="115" t="s">
        <v>107</v>
      </c>
      <c r="P134" s="115" t="s">
        <v>107</v>
      </c>
      <c r="Q134" s="115" t="s">
        <v>107</v>
      </c>
      <c r="R134" s="115" t="s">
        <v>107</v>
      </c>
      <c r="S134" s="115" t="s">
        <v>107</v>
      </c>
      <c r="T134" s="115" t="s">
        <v>107</v>
      </c>
      <c r="U134" s="115" t="s">
        <v>107</v>
      </c>
      <c r="V134" s="115" t="s">
        <v>107</v>
      </c>
      <c r="W134" s="234">
        <v>1</v>
      </c>
      <c r="X134" s="99"/>
      <c r="Y134" s="100"/>
    </row>
    <row r="135" spans="1:25" ht="45">
      <c r="A135" s="91">
        <v>132</v>
      </c>
      <c r="B135" s="110" t="s">
        <v>394</v>
      </c>
      <c r="C135" s="15" t="s">
        <v>395</v>
      </c>
      <c r="D135" s="93" t="s">
        <v>28</v>
      </c>
      <c r="E135" s="94" t="s">
        <v>28</v>
      </c>
      <c r="F135" s="15" t="s">
        <v>392</v>
      </c>
      <c r="G135" s="107" t="s">
        <v>30</v>
      </c>
      <c r="H135" s="38">
        <f>0.3048*179</f>
        <v>54.559200000000004</v>
      </c>
      <c r="I135" s="55">
        <v>500000</v>
      </c>
      <c r="J135" s="96" t="s">
        <v>31</v>
      </c>
      <c r="K135" s="68" t="s">
        <v>393</v>
      </c>
      <c r="L135" s="54">
        <v>485000</v>
      </c>
      <c r="M135" s="194">
        <f t="shared" ref="M135:M136" si="23">L135/(I135-I135*3%)</f>
        <v>1</v>
      </c>
      <c r="N135" s="115" t="s">
        <v>107</v>
      </c>
      <c r="O135" s="115" t="s">
        <v>107</v>
      </c>
      <c r="P135" s="115" t="s">
        <v>107</v>
      </c>
      <c r="Q135" s="115" t="s">
        <v>107</v>
      </c>
      <c r="R135" s="115" t="s">
        <v>107</v>
      </c>
      <c r="S135" s="115" t="s">
        <v>107</v>
      </c>
      <c r="T135" s="115" t="s">
        <v>107</v>
      </c>
      <c r="U135" s="115" t="s">
        <v>107</v>
      </c>
      <c r="V135" s="115" t="s">
        <v>107</v>
      </c>
      <c r="W135" s="234">
        <v>1</v>
      </c>
      <c r="X135" s="99"/>
      <c r="Y135" s="100"/>
    </row>
    <row r="136" spans="1:25" ht="45">
      <c r="A136" s="91">
        <v>133</v>
      </c>
      <c r="B136" s="110" t="s">
        <v>396</v>
      </c>
      <c r="C136" s="15" t="s">
        <v>397</v>
      </c>
      <c r="D136" s="93" t="s">
        <v>28</v>
      </c>
      <c r="E136" s="94" t="s">
        <v>28</v>
      </c>
      <c r="F136" s="15" t="s">
        <v>392</v>
      </c>
      <c r="G136" s="107" t="s">
        <v>30</v>
      </c>
      <c r="H136" s="38">
        <f>0.3048*178</f>
        <v>54.254400000000004</v>
      </c>
      <c r="I136" s="114">
        <v>500000</v>
      </c>
      <c r="J136" s="96" t="s">
        <v>31</v>
      </c>
      <c r="K136" s="68" t="s">
        <v>393</v>
      </c>
      <c r="L136" s="54">
        <v>485000</v>
      </c>
      <c r="M136" s="194">
        <f t="shared" si="23"/>
        <v>1</v>
      </c>
      <c r="N136" s="115" t="s">
        <v>107</v>
      </c>
      <c r="O136" s="115" t="s">
        <v>107</v>
      </c>
      <c r="P136" s="115" t="s">
        <v>107</v>
      </c>
      <c r="Q136" s="115" t="s">
        <v>107</v>
      </c>
      <c r="R136" s="115" t="s">
        <v>107</v>
      </c>
      <c r="S136" s="115" t="s">
        <v>107</v>
      </c>
      <c r="T136" s="115" t="s">
        <v>107</v>
      </c>
      <c r="U136" s="115" t="s">
        <v>107</v>
      </c>
      <c r="V136" s="115" t="s">
        <v>107</v>
      </c>
      <c r="W136" s="234">
        <v>1</v>
      </c>
      <c r="X136" s="99"/>
      <c r="Y136" s="100"/>
    </row>
    <row r="137" spans="1:25" ht="45">
      <c r="A137" s="91">
        <v>134</v>
      </c>
      <c r="B137" s="110" t="s">
        <v>398</v>
      </c>
      <c r="C137" s="15" t="s">
        <v>399</v>
      </c>
      <c r="D137" s="93" t="s">
        <v>28</v>
      </c>
      <c r="E137" s="94" t="s">
        <v>28</v>
      </c>
      <c r="F137" s="15" t="s">
        <v>392</v>
      </c>
      <c r="G137" s="107" t="s">
        <v>30</v>
      </c>
      <c r="H137" s="38"/>
      <c r="I137" s="114">
        <v>900000</v>
      </c>
      <c r="J137" s="96" t="s">
        <v>31</v>
      </c>
      <c r="K137" s="15"/>
      <c r="L137" s="54"/>
      <c r="M137" s="38"/>
      <c r="N137" s="115" t="s">
        <v>107</v>
      </c>
      <c r="O137" s="115" t="s">
        <v>107</v>
      </c>
      <c r="P137" s="115" t="s">
        <v>107</v>
      </c>
      <c r="Q137" s="115" t="s">
        <v>107</v>
      </c>
      <c r="R137" s="115" t="s">
        <v>107</v>
      </c>
      <c r="S137" s="115" t="s">
        <v>107</v>
      </c>
      <c r="T137" s="115" t="s">
        <v>107</v>
      </c>
      <c r="U137" s="115" t="s">
        <v>107</v>
      </c>
      <c r="V137" s="115" t="s">
        <v>107</v>
      </c>
      <c r="W137" s="234">
        <v>1</v>
      </c>
      <c r="X137" s="99"/>
      <c r="Y137" s="100"/>
    </row>
    <row r="138" spans="1:25" ht="57">
      <c r="A138" s="91">
        <v>135</v>
      </c>
      <c r="B138" s="110" t="s">
        <v>400</v>
      </c>
      <c r="C138" s="69" t="s">
        <v>401</v>
      </c>
      <c r="D138" s="93" t="s">
        <v>28</v>
      </c>
      <c r="E138" s="94" t="s">
        <v>28</v>
      </c>
      <c r="F138" s="68" t="s">
        <v>402</v>
      </c>
      <c r="G138" s="107" t="s">
        <v>30</v>
      </c>
      <c r="H138" s="38">
        <f>0.3048*103</f>
        <v>31.394400000000001</v>
      </c>
      <c r="I138" s="114">
        <v>500000</v>
      </c>
      <c r="J138" s="96" t="s">
        <v>31</v>
      </c>
      <c r="K138" s="68" t="s">
        <v>393</v>
      </c>
      <c r="L138" s="54"/>
      <c r="M138" s="38"/>
      <c r="N138" s="115" t="s">
        <v>107</v>
      </c>
      <c r="O138" s="115" t="s">
        <v>107</v>
      </c>
      <c r="P138" s="115" t="s">
        <v>107</v>
      </c>
      <c r="Q138" s="115" t="s">
        <v>107</v>
      </c>
      <c r="R138" s="115" t="s">
        <v>107</v>
      </c>
      <c r="S138" s="115" t="s">
        <v>107</v>
      </c>
      <c r="T138" s="115" t="s">
        <v>107</v>
      </c>
      <c r="U138" s="115" t="s">
        <v>107</v>
      </c>
      <c r="V138" s="115" t="s">
        <v>107</v>
      </c>
      <c r="W138" s="234">
        <v>1</v>
      </c>
      <c r="X138" s="246" t="s">
        <v>303</v>
      </c>
      <c r="Y138" s="100"/>
    </row>
    <row r="139" spans="1:25" ht="49.5" customHeight="1">
      <c r="A139" s="91">
        <v>136</v>
      </c>
      <c r="B139" s="110" t="s">
        <v>403</v>
      </c>
      <c r="C139" s="111" t="s">
        <v>404</v>
      </c>
      <c r="D139" s="93" t="s">
        <v>28</v>
      </c>
      <c r="E139" s="94" t="s">
        <v>28</v>
      </c>
      <c r="F139" s="15" t="s">
        <v>405</v>
      </c>
      <c r="G139" s="107" t="s">
        <v>30</v>
      </c>
      <c r="H139" s="33">
        <f>0.3048*127</f>
        <v>38.709600000000002</v>
      </c>
      <c r="I139" s="31">
        <v>300000</v>
      </c>
      <c r="J139" s="96" t="s">
        <v>31</v>
      </c>
      <c r="K139" s="68" t="s">
        <v>406</v>
      </c>
      <c r="L139" s="54"/>
      <c r="M139" s="38"/>
      <c r="N139" s="115" t="s">
        <v>107</v>
      </c>
      <c r="O139" s="115" t="s">
        <v>107</v>
      </c>
      <c r="P139" s="115" t="s">
        <v>107</v>
      </c>
      <c r="Q139" s="115" t="s">
        <v>107</v>
      </c>
      <c r="R139" s="115" t="s">
        <v>107</v>
      </c>
      <c r="S139" s="115" t="s">
        <v>107</v>
      </c>
      <c r="T139" s="115" t="s">
        <v>107</v>
      </c>
      <c r="U139" s="115" t="s">
        <v>107</v>
      </c>
      <c r="V139" s="115" t="s">
        <v>107</v>
      </c>
      <c r="W139" s="234">
        <v>1</v>
      </c>
      <c r="X139" s="99"/>
      <c r="Y139" s="100"/>
    </row>
    <row r="140" spans="1:25" ht="45" customHeight="1">
      <c r="A140" s="91">
        <v>137</v>
      </c>
      <c r="B140" s="110" t="s">
        <v>407</v>
      </c>
      <c r="C140" s="111" t="s">
        <v>408</v>
      </c>
      <c r="D140" s="93" t="s">
        <v>28</v>
      </c>
      <c r="E140" s="94" t="s">
        <v>28</v>
      </c>
      <c r="F140" s="15" t="s">
        <v>405</v>
      </c>
      <c r="G140" s="107" t="s">
        <v>30</v>
      </c>
      <c r="H140" s="33">
        <f>0.3048*112</f>
        <v>34.137599999999999</v>
      </c>
      <c r="I140" s="31">
        <v>340000</v>
      </c>
      <c r="J140" s="96" t="s">
        <v>31</v>
      </c>
      <c r="K140" s="68" t="s">
        <v>406</v>
      </c>
      <c r="L140" s="54">
        <v>329800</v>
      </c>
      <c r="M140" s="194">
        <f t="shared" ref="M140:M143" si="24">L140/(I140-I140*3%)</f>
        <v>1</v>
      </c>
      <c r="N140" s="115" t="s">
        <v>107</v>
      </c>
      <c r="O140" s="115" t="s">
        <v>107</v>
      </c>
      <c r="P140" s="115" t="s">
        <v>107</v>
      </c>
      <c r="Q140" s="115" t="s">
        <v>107</v>
      </c>
      <c r="R140" s="115" t="s">
        <v>107</v>
      </c>
      <c r="S140" s="115" t="s">
        <v>107</v>
      </c>
      <c r="T140" s="115" t="s">
        <v>107</v>
      </c>
      <c r="U140" s="115" t="s">
        <v>107</v>
      </c>
      <c r="V140" s="115" t="s">
        <v>107</v>
      </c>
      <c r="W140" s="234">
        <v>1</v>
      </c>
      <c r="X140" s="99"/>
      <c r="Y140" s="100"/>
    </row>
    <row r="141" spans="1:25" ht="46.5" customHeight="1">
      <c r="A141" s="91">
        <v>138</v>
      </c>
      <c r="B141" s="110" t="s">
        <v>409</v>
      </c>
      <c r="C141" s="69" t="s">
        <v>410</v>
      </c>
      <c r="D141" s="93" t="s">
        <v>28</v>
      </c>
      <c r="E141" s="94" t="s">
        <v>28</v>
      </c>
      <c r="F141" s="15" t="s">
        <v>405</v>
      </c>
      <c r="G141" s="107" t="s">
        <v>30</v>
      </c>
      <c r="H141" s="33">
        <f>0.3048*143</f>
        <v>43.586400000000005</v>
      </c>
      <c r="I141" s="232">
        <v>340000</v>
      </c>
      <c r="J141" s="96" t="s">
        <v>31</v>
      </c>
      <c r="K141" s="68" t="s">
        <v>406</v>
      </c>
      <c r="L141" s="54">
        <v>312426.59999999998</v>
      </c>
      <c r="M141" s="194">
        <f t="shared" si="24"/>
        <v>0.94732140691328071</v>
      </c>
      <c r="N141" s="115" t="s">
        <v>107</v>
      </c>
      <c r="O141" s="115" t="s">
        <v>107</v>
      </c>
      <c r="P141" s="115" t="s">
        <v>107</v>
      </c>
      <c r="Q141" s="115" t="s">
        <v>107</v>
      </c>
      <c r="R141" s="115" t="s">
        <v>107</v>
      </c>
      <c r="S141" s="115" t="s">
        <v>107</v>
      </c>
      <c r="T141" s="115" t="s">
        <v>107</v>
      </c>
      <c r="U141" s="115" t="s">
        <v>107</v>
      </c>
      <c r="V141" s="115" t="s">
        <v>107</v>
      </c>
      <c r="W141" s="234">
        <v>1</v>
      </c>
      <c r="X141" s="99"/>
      <c r="Y141" s="100"/>
    </row>
    <row r="142" spans="1:25" ht="70.5" customHeight="1">
      <c r="A142" s="91">
        <v>139</v>
      </c>
      <c r="B142" s="110" t="s">
        <v>411</v>
      </c>
      <c r="C142" s="111" t="s">
        <v>412</v>
      </c>
      <c r="D142" s="93" t="s">
        <v>28</v>
      </c>
      <c r="E142" s="94" t="s">
        <v>28</v>
      </c>
      <c r="F142" s="68" t="s">
        <v>413</v>
      </c>
      <c r="G142" s="107" t="s">
        <v>30</v>
      </c>
      <c r="H142" s="38">
        <f>0.3048*15</f>
        <v>4.5720000000000001</v>
      </c>
      <c r="I142" s="114">
        <v>400000</v>
      </c>
      <c r="J142" s="96" t="s">
        <v>31</v>
      </c>
      <c r="K142" s="68" t="s">
        <v>193</v>
      </c>
      <c r="L142" s="54">
        <v>388000</v>
      </c>
      <c r="M142" s="194">
        <f t="shared" si="24"/>
        <v>1</v>
      </c>
      <c r="N142" s="115" t="s">
        <v>107</v>
      </c>
      <c r="O142" s="115" t="s">
        <v>107</v>
      </c>
      <c r="P142" s="115" t="s">
        <v>107</v>
      </c>
      <c r="Q142" s="115" t="s">
        <v>107</v>
      </c>
      <c r="R142" s="115" t="s">
        <v>107</v>
      </c>
      <c r="S142" s="115" t="s">
        <v>107</v>
      </c>
      <c r="T142" s="115" t="s">
        <v>107</v>
      </c>
      <c r="U142" s="115" t="s">
        <v>107</v>
      </c>
      <c r="V142" s="115" t="s">
        <v>107</v>
      </c>
      <c r="W142" s="234">
        <v>1</v>
      </c>
      <c r="X142" s="99"/>
      <c r="Y142" s="100"/>
    </row>
    <row r="143" spans="1:25" ht="45">
      <c r="A143" s="91">
        <v>140</v>
      </c>
      <c r="B143" s="110" t="s">
        <v>414</v>
      </c>
      <c r="C143" s="111" t="s">
        <v>415</v>
      </c>
      <c r="D143" s="93" t="s">
        <v>28</v>
      </c>
      <c r="E143" s="94" t="s">
        <v>28</v>
      </c>
      <c r="F143" s="68" t="s">
        <v>413</v>
      </c>
      <c r="G143" s="107" t="s">
        <v>30</v>
      </c>
      <c r="H143" s="33">
        <f>0.3048*75</f>
        <v>22.86</v>
      </c>
      <c r="I143" s="114">
        <v>300000</v>
      </c>
      <c r="J143" s="96" t="s">
        <v>31</v>
      </c>
      <c r="K143" s="68" t="s">
        <v>416</v>
      </c>
      <c r="L143" s="54">
        <v>291000</v>
      </c>
      <c r="M143" s="194">
        <f t="shared" si="24"/>
        <v>1</v>
      </c>
      <c r="N143" s="115" t="s">
        <v>107</v>
      </c>
      <c r="O143" s="115" t="s">
        <v>107</v>
      </c>
      <c r="P143" s="115" t="s">
        <v>107</v>
      </c>
      <c r="Q143" s="115" t="s">
        <v>107</v>
      </c>
      <c r="R143" s="115" t="s">
        <v>107</v>
      </c>
      <c r="S143" s="115" t="s">
        <v>107</v>
      </c>
      <c r="T143" s="115" t="s">
        <v>107</v>
      </c>
      <c r="U143" s="115" t="s">
        <v>107</v>
      </c>
      <c r="V143" s="115" t="s">
        <v>107</v>
      </c>
      <c r="W143" s="234">
        <v>1</v>
      </c>
      <c r="X143" s="99"/>
      <c r="Y143" s="100"/>
    </row>
    <row r="144" spans="1:25" s="63" customFormat="1" ht="30">
      <c r="A144" s="70">
        <v>141</v>
      </c>
      <c r="B144" s="71" t="s">
        <v>417</v>
      </c>
      <c r="C144" s="72" t="s">
        <v>418</v>
      </c>
      <c r="D144" s="73" t="s">
        <v>28</v>
      </c>
      <c r="E144" s="74" t="s">
        <v>28</v>
      </c>
      <c r="F144" s="72" t="s">
        <v>413</v>
      </c>
      <c r="G144" s="75" t="s">
        <v>30</v>
      </c>
      <c r="H144" s="62"/>
      <c r="I144" s="76">
        <v>1000000</v>
      </c>
      <c r="J144" s="77" t="s">
        <v>31</v>
      </c>
      <c r="K144" s="72"/>
      <c r="L144" s="78"/>
      <c r="M144" s="62"/>
      <c r="N144" s="248">
        <v>1</v>
      </c>
      <c r="O144" s="249"/>
      <c r="P144" s="249"/>
      <c r="Q144" s="249"/>
      <c r="R144" s="249"/>
      <c r="S144" s="249"/>
      <c r="T144" s="249"/>
      <c r="U144" s="249"/>
      <c r="V144" s="249"/>
      <c r="W144" s="248"/>
      <c r="X144" s="79"/>
      <c r="Y144" s="80" t="s">
        <v>419</v>
      </c>
    </row>
    <row r="145" spans="1:25" ht="57">
      <c r="A145" s="91">
        <v>142</v>
      </c>
      <c r="B145" s="110" t="s">
        <v>420</v>
      </c>
      <c r="C145" s="111" t="s">
        <v>421</v>
      </c>
      <c r="D145" s="93" t="s">
        <v>28</v>
      </c>
      <c r="E145" s="94" t="s">
        <v>28</v>
      </c>
      <c r="F145" s="68" t="s">
        <v>422</v>
      </c>
      <c r="G145" s="107" t="s">
        <v>30</v>
      </c>
      <c r="H145" s="33">
        <f>0.3048*(63+147+20)</f>
        <v>70.103999999999999</v>
      </c>
      <c r="I145" s="114">
        <v>600000</v>
      </c>
      <c r="J145" s="96" t="s">
        <v>31</v>
      </c>
      <c r="K145" s="15"/>
      <c r="L145" s="54"/>
      <c r="M145" s="38"/>
      <c r="N145" s="115" t="s">
        <v>107</v>
      </c>
      <c r="O145" s="115" t="s">
        <v>107</v>
      </c>
      <c r="P145" s="115" t="s">
        <v>107</v>
      </c>
      <c r="Q145" s="115" t="s">
        <v>107</v>
      </c>
      <c r="R145" s="115" t="s">
        <v>107</v>
      </c>
      <c r="S145" s="115">
        <v>1</v>
      </c>
      <c r="T145" s="115" t="s">
        <v>107</v>
      </c>
      <c r="U145" s="115" t="s">
        <v>107</v>
      </c>
      <c r="V145" s="115" t="s">
        <v>107</v>
      </c>
      <c r="W145" s="234"/>
      <c r="X145" s="99"/>
      <c r="Y145" s="100" t="s">
        <v>423</v>
      </c>
    </row>
    <row r="146" spans="1:25" ht="45">
      <c r="A146" s="91">
        <v>143</v>
      </c>
      <c r="B146" s="110" t="s">
        <v>424</v>
      </c>
      <c r="C146" s="111" t="s">
        <v>425</v>
      </c>
      <c r="D146" s="93" t="s">
        <v>28</v>
      </c>
      <c r="E146" s="94" t="s">
        <v>28</v>
      </c>
      <c r="F146" s="68" t="s">
        <v>422</v>
      </c>
      <c r="G146" s="107" t="s">
        <v>30</v>
      </c>
      <c r="H146" s="33">
        <f>0.3048*71</f>
        <v>21.640800000000002</v>
      </c>
      <c r="I146" s="114">
        <v>300000</v>
      </c>
      <c r="J146" s="96" t="s">
        <v>31</v>
      </c>
      <c r="K146" s="68" t="s">
        <v>193</v>
      </c>
      <c r="L146" s="54">
        <v>291000</v>
      </c>
      <c r="M146" s="194">
        <f t="shared" ref="M146:M147" si="25">L146/(I146-I146*3%)</f>
        <v>1</v>
      </c>
      <c r="N146" s="233" t="s">
        <v>107</v>
      </c>
      <c r="O146" s="233" t="s">
        <v>107</v>
      </c>
      <c r="P146" s="233" t="s">
        <v>107</v>
      </c>
      <c r="Q146" s="233" t="s">
        <v>107</v>
      </c>
      <c r="R146" s="233" t="s">
        <v>107</v>
      </c>
      <c r="S146" s="233" t="s">
        <v>107</v>
      </c>
      <c r="T146" s="233" t="s">
        <v>107</v>
      </c>
      <c r="U146" s="233">
        <f t="shared" ref="U146:V147" si="26">-U147</f>
        <v>0</v>
      </c>
      <c r="V146" s="233">
        <f t="shared" si="26"/>
        <v>0</v>
      </c>
      <c r="W146" s="234">
        <v>1</v>
      </c>
      <c r="X146" s="99"/>
      <c r="Y146" s="100"/>
    </row>
    <row r="147" spans="1:25" ht="45">
      <c r="A147" s="91">
        <v>144</v>
      </c>
      <c r="B147" s="110" t="s">
        <v>426</v>
      </c>
      <c r="C147" s="111" t="s">
        <v>427</v>
      </c>
      <c r="D147" s="93" t="s">
        <v>28</v>
      </c>
      <c r="E147" s="94" t="s">
        <v>28</v>
      </c>
      <c r="F147" s="68" t="s">
        <v>422</v>
      </c>
      <c r="G147" s="107" t="s">
        <v>30</v>
      </c>
      <c r="H147" s="68">
        <f>0.3048*(200+82)</f>
        <v>85.953600000000009</v>
      </c>
      <c r="I147" s="114">
        <v>1000000</v>
      </c>
      <c r="J147" s="96" t="s">
        <v>31</v>
      </c>
      <c r="K147" s="15" t="s">
        <v>428</v>
      </c>
      <c r="L147" s="54">
        <v>970000</v>
      </c>
      <c r="M147" s="194">
        <f t="shared" si="25"/>
        <v>1</v>
      </c>
      <c r="N147" s="233" t="s">
        <v>107</v>
      </c>
      <c r="O147" s="233" t="s">
        <v>107</v>
      </c>
      <c r="P147" s="233" t="s">
        <v>107</v>
      </c>
      <c r="Q147" s="233" t="s">
        <v>107</v>
      </c>
      <c r="R147" s="233" t="s">
        <v>107</v>
      </c>
      <c r="S147" s="233" t="s">
        <v>107</v>
      </c>
      <c r="T147" s="233" t="s">
        <v>107</v>
      </c>
      <c r="U147" s="233">
        <f t="shared" si="26"/>
        <v>0</v>
      </c>
      <c r="V147" s="233">
        <f t="shared" si="26"/>
        <v>0</v>
      </c>
      <c r="W147" s="234">
        <v>1</v>
      </c>
      <c r="X147" s="99"/>
      <c r="Y147" s="100"/>
    </row>
    <row r="148" spans="1:25" s="51" customFormat="1" ht="30">
      <c r="A148" s="39" t="s">
        <v>429</v>
      </c>
      <c r="B148" s="40" t="s">
        <v>430</v>
      </c>
      <c r="C148" s="18" t="s">
        <v>431</v>
      </c>
      <c r="D148" s="41" t="s">
        <v>28</v>
      </c>
      <c r="E148" s="42" t="s">
        <v>28</v>
      </c>
      <c r="F148" s="18"/>
      <c r="G148" s="43" t="s">
        <v>30</v>
      </c>
      <c r="H148" s="22"/>
      <c r="I148" s="65">
        <v>200000</v>
      </c>
      <c r="J148" s="21" t="s">
        <v>31</v>
      </c>
      <c r="K148" s="18"/>
      <c r="L148" s="53"/>
      <c r="M148" s="22"/>
      <c r="N148" s="47"/>
      <c r="O148" s="47"/>
      <c r="P148" s="52"/>
      <c r="Q148" s="52"/>
      <c r="R148" s="47">
        <v>1</v>
      </c>
      <c r="S148" s="48"/>
      <c r="T148" s="46"/>
      <c r="U148" s="46"/>
      <c r="V148" s="46"/>
      <c r="W148" s="48"/>
      <c r="X148" s="49"/>
      <c r="Y148" s="50"/>
    </row>
    <row r="149" spans="1:25" ht="45">
      <c r="A149" s="91">
        <v>146</v>
      </c>
      <c r="B149" s="110" t="s">
        <v>432</v>
      </c>
      <c r="C149" s="111" t="s">
        <v>433</v>
      </c>
      <c r="D149" s="93" t="s">
        <v>28</v>
      </c>
      <c r="E149" s="94" t="s">
        <v>28</v>
      </c>
      <c r="F149" s="111" t="s">
        <v>434</v>
      </c>
      <c r="G149" s="107" t="s">
        <v>30</v>
      </c>
      <c r="H149" s="38">
        <f>0.3048*137</f>
        <v>41.757600000000004</v>
      </c>
      <c r="I149" s="114">
        <v>325000</v>
      </c>
      <c r="J149" s="96" t="s">
        <v>31</v>
      </c>
      <c r="K149" s="68" t="s">
        <v>435</v>
      </c>
      <c r="L149" s="54">
        <v>315250</v>
      </c>
      <c r="M149" s="194">
        <f>L149/(I149-I149*3%)</f>
        <v>1</v>
      </c>
      <c r="N149" s="233" t="s">
        <v>107</v>
      </c>
      <c r="O149" s="233" t="s">
        <v>107</v>
      </c>
      <c r="P149" s="233" t="s">
        <v>107</v>
      </c>
      <c r="Q149" s="233" t="s">
        <v>107</v>
      </c>
      <c r="R149" s="233" t="s">
        <v>107</v>
      </c>
      <c r="S149" s="233" t="s">
        <v>107</v>
      </c>
      <c r="T149" s="233" t="s">
        <v>107</v>
      </c>
      <c r="U149" s="233">
        <f>-U150</f>
        <v>0</v>
      </c>
      <c r="V149" s="233">
        <f>-V150</f>
        <v>0</v>
      </c>
      <c r="W149" s="234">
        <v>1</v>
      </c>
      <c r="X149" s="99"/>
      <c r="Y149" s="100"/>
    </row>
    <row r="150" spans="1:25" s="59" customFormat="1" ht="30">
      <c r="A150" s="120">
        <v>147</v>
      </c>
      <c r="B150" s="121" t="s">
        <v>436</v>
      </c>
      <c r="C150" s="57" t="s">
        <v>437</v>
      </c>
      <c r="D150" s="122" t="s">
        <v>28</v>
      </c>
      <c r="E150" s="123" t="s">
        <v>28</v>
      </c>
      <c r="F150" s="57" t="s">
        <v>434</v>
      </c>
      <c r="G150" s="124" t="s">
        <v>30</v>
      </c>
      <c r="H150" s="58"/>
      <c r="I150" s="125">
        <v>150000</v>
      </c>
      <c r="J150" s="126" t="s">
        <v>31</v>
      </c>
      <c r="K150" s="57"/>
      <c r="L150" s="56"/>
      <c r="M150" s="58"/>
      <c r="N150" s="233" t="s">
        <v>107</v>
      </c>
      <c r="O150" s="233" t="s">
        <v>107</v>
      </c>
      <c r="P150" s="233" t="s">
        <v>107</v>
      </c>
      <c r="Q150" s="233" t="s">
        <v>107</v>
      </c>
      <c r="R150" s="127">
        <v>1</v>
      </c>
      <c r="S150" s="129"/>
      <c r="T150" s="60"/>
      <c r="U150" s="60"/>
      <c r="V150" s="60"/>
      <c r="W150" s="129"/>
      <c r="X150" s="60"/>
      <c r="Y150" s="61"/>
    </row>
    <row r="151" spans="1:25" ht="45">
      <c r="A151" s="91">
        <v>148</v>
      </c>
      <c r="B151" s="110" t="s">
        <v>438</v>
      </c>
      <c r="C151" s="111" t="s">
        <v>439</v>
      </c>
      <c r="D151" s="93" t="s">
        <v>28</v>
      </c>
      <c r="E151" s="94" t="s">
        <v>28</v>
      </c>
      <c r="F151" s="111" t="s">
        <v>434</v>
      </c>
      <c r="G151" s="107" t="s">
        <v>30</v>
      </c>
      <c r="H151" s="33">
        <f>0.3048*49</f>
        <v>14.9352</v>
      </c>
      <c r="I151" s="114">
        <v>100000</v>
      </c>
      <c r="J151" s="96" t="s">
        <v>31</v>
      </c>
      <c r="K151" s="68" t="s">
        <v>435</v>
      </c>
      <c r="L151" s="54">
        <v>97000</v>
      </c>
      <c r="M151" s="38"/>
      <c r="N151" s="115" t="s">
        <v>107</v>
      </c>
      <c r="O151" s="115" t="s">
        <v>107</v>
      </c>
      <c r="P151" s="115" t="s">
        <v>107</v>
      </c>
      <c r="Q151" s="115" t="s">
        <v>107</v>
      </c>
      <c r="R151" s="115" t="s">
        <v>107</v>
      </c>
      <c r="S151" s="115" t="s">
        <v>107</v>
      </c>
      <c r="T151" s="115" t="s">
        <v>107</v>
      </c>
      <c r="U151" s="115" t="s">
        <v>107</v>
      </c>
      <c r="V151" s="115" t="s">
        <v>107</v>
      </c>
      <c r="W151" s="234">
        <v>1</v>
      </c>
      <c r="X151" s="99"/>
      <c r="Y151" s="100"/>
    </row>
    <row r="152" spans="1:25" s="51" customFormat="1">
      <c r="A152" s="39" t="s">
        <v>440</v>
      </c>
      <c r="B152" s="40" t="s">
        <v>441</v>
      </c>
      <c r="C152" s="18" t="s">
        <v>442</v>
      </c>
      <c r="D152" s="41" t="s">
        <v>28</v>
      </c>
      <c r="E152" s="42" t="s">
        <v>28</v>
      </c>
      <c r="F152" s="18" t="s">
        <v>330</v>
      </c>
      <c r="G152" s="43" t="s">
        <v>30</v>
      </c>
      <c r="H152" s="22"/>
      <c r="I152" s="65">
        <v>200000</v>
      </c>
      <c r="J152" s="21" t="s">
        <v>31</v>
      </c>
      <c r="K152" s="18"/>
      <c r="L152" s="53"/>
      <c r="M152" s="22"/>
      <c r="N152" s="47"/>
      <c r="O152" s="47"/>
      <c r="P152" s="52"/>
      <c r="Q152" s="52"/>
      <c r="R152" s="47">
        <v>1</v>
      </c>
      <c r="S152" s="48"/>
      <c r="T152" s="49"/>
      <c r="U152" s="49"/>
      <c r="V152" s="49"/>
      <c r="W152" s="48"/>
      <c r="X152" s="49"/>
      <c r="Y152" s="50"/>
    </row>
    <row r="153" spans="1:25" ht="45">
      <c r="A153" s="91">
        <v>150</v>
      </c>
      <c r="B153" s="110" t="s">
        <v>443</v>
      </c>
      <c r="C153" s="111" t="s">
        <v>444</v>
      </c>
      <c r="D153" s="93" t="s">
        <v>28</v>
      </c>
      <c r="E153" s="94" t="s">
        <v>28</v>
      </c>
      <c r="F153" s="111" t="s">
        <v>434</v>
      </c>
      <c r="G153" s="107" t="s">
        <v>30</v>
      </c>
      <c r="H153" s="33">
        <f>0.3048*64</f>
        <v>19.507200000000001</v>
      </c>
      <c r="I153" s="114">
        <v>150000</v>
      </c>
      <c r="J153" s="96" t="s">
        <v>31</v>
      </c>
      <c r="K153" s="68" t="s">
        <v>435</v>
      </c>
      <c r="L153" s="54"/>
      <c r="M153" s="38"/>
      <c r="N153" s="182">
        <v>0</v>
      </c>
      <c r="O153" s="183"/>
      <c r="P153" s="182">
        <v>0</v>
      </c>
      <c r="Q153" s="182">
        <v>0</v>
      </c>
      <c r="R153" s="115">
        <v>1</v>
      </c>
      <c r="S153" s="116"/>
      <c r="T153" s="99"/>
      <c r="U153" s="99"/>
      <c r="V153" s="99"/>
      <c r="W153" s="116"/>
      <c r="X153" s="99"/>
      <c r="Y153" s="100"/>
    </row>
    <row r="154" spans="1:25" s="51" customFormat="1" ht="60">
      <c r="A154" s="39" t="s">
        <v>445</v>
      </c>
      <c r="B154" s="40" t="s">
        <v>446</v>
      </c>
      <c r="C154" s="18" t="s">
        <v>447</v>
      </c>
      <c r="D154" s="41" t="s">
        <v>28</v>
      </c>
      <c r="E154" s="42" t="s">
        <v>28</v>
      </c>
      <c r="F154" s="18" t="s">
        <v>448</v>
      </c>
      <c r="G154" s="43" t="s">
        <v>449</v>
      </c>
      <c r="H154" s="22"/>
      <c r="I154" s="65">
        <v>300000</v>
      </c>
      <c r="J154" s="21" t="s">
        <v>31</v>
      </c>
      <c r="K154" s="18"/>
      <c r="L154" s="53"/>
      <c r="M154" s="22"/>
      <c r="N154" s="47"/>
      <c r="O154" s="47"/>
      <c r="P154" s="52"/>
      <c r="Q154" s="52"/>
      <c r="R154" s="47">
        <v>1</v>
      </c>
      <c r="S154" s="48"/>
      <c r="T154" s="46"/>
      <c r="U154" s="46"/>
      <c r="V154" s="46"/>
      <c r="W154" s="48"/>
      <c r="X154" s="49"/>
      <c r="Y154" s="50"/>
    </row>
    <row r="155" spans="1:25" s="51" customFormat="1" ht="30">
      <c r="A155" s="39" t="s">
        <v>450</v>
      </c>
      <c r="B155" s="40" t="s">
        <v>451</v>
      </c>
      <c r="C155" s="18" t="s">
        <v>452</v>
      </c>
      <c r="D155" s="41" t="s">
        <v>28</v>
      </c>
      <c r="E155" s="42" t="s">
        <v>28</v>
      </c>
      <c r="F155" s="18" t="s">
        <v>377</v>
      </c>
      <c r="G155" s="43" t="s">
        <v>30</v>
      </c>
      <c r="H155" s="22"/>
      <c r="I155" s="65">
        <v>1000000</v>
      </c>
      <c r="J155" s="21" t="s">
        <v>31</v>
      </c>
      <c r="K155" s="18"/>
      <c r="L155" s="53"/>
      <c r="M155" s="22"/>
      <c r="N155" s="47">
        <v>1</v>
      </c>
      <c r="O155" s="47"/>
      <c r="P155" s="52"/>
      <c r="Q155" s="52"/>
      <c r="R155" s="47"/>
      <c r="S155" s="48"/>
      <c r="T155" s="46"/>
      <c r="U155" s="46"/>
      <c r="V155" s="46"/>
      <c r="W155" s="48"/>
      <c r="X155" s="49"/>
      <c r="Y155" s="50"/>
    </row>
    <row r="156" spans="1:25" ht="30">
      <c r="A156" s="91">
        <v>153</v>
      </c>
      <c r="B156" s="110" t="s">
        <v>453</v>
      </c>
      <c r="C156" s="38" t="s">
        <v>454</v>
      </c>
      <c r="D156" s="93" t="s">
        <v>28</v>
      </c>
      <c r="E156" s="94" t="s">
        <v>28</v>
      </c>
      <c r="F156" s="250" t="s">
        <v>455</v>
      </c>
      <c r="G156" s="107" t="s">
        <v>30</v>
      </c>
      <c r="H156" s="33">
        <f>0.3048*144</f>
        <v>43.891200000000005</v>
      </c>
      <c r="I156" s="114">
        <v>400000</v>
      </c>
      <c r="J156" s="96" t="s">
        <v>31</v>
      </c>
      <c r="K156" s="68" t="s">
        <v>456</v>
      </c>
      <c r="L156" s="54"/>
      <c r="M156" s="38"/>
      <c r="N156" s="115" t="s">
        <v>107</v>
      </c>
      <c r="O156" s="115" t="s">
        <v>107</v>
      </c>
      <c r="P156" s="115" t="s">
        <v>107</v>
      </c>
      <c r="Q156" s="115" t="s">
        <v>107</v>
      </c>
      <c r="R156" s="115" t="s">
        <v>107</v>
      </c>
      <c r="S156" s="115" t="s">
        <v>107</v>
      </c>
      <c r="T156" s="115" t="s">
        <v>107</v>
      </c>
      <c r="U156" s="115" t="s">
        <v>107</v>
      </c>
      <c r="V156" s="115" t="s">
        <v>107</v>
      </c>
      <c r="W156" s="234">
        <v>1</v>
      </c>
      <c r="X156" s="99"/>
      <c r="Y156" s="100"/>
    </row>
    <row r="157" spans="1:25" ht="30">
      <c r="A157" s="91">
        <v>154</v>
      </c>
      <c r="B157" s="110" t="s">
        <v>457</v>
      </c>
      <c r="C157" s="15" t="s">
        <v>458</v>
      </c>
      <c r="D157" s="93" t="s">
        <v>28</v>
      </c>
      <c r="E157" s="94" t="s">
        <v>28</v>
      </c>
      <c r="F157" s="250" t="s">
        <v>455</v>
      </c>
      <c r="G157" s="107" t="s">
        <v>30</v>
      </c>
      <c r="H157" s="33">
        <f>0.3048*118</f>
        <v>35.9664</v>
      </c>
      <c r="I157" s="114">
        <v>400000</v>
      </c>
      <c r="J157" s="96" t="s">
        <v>31</v>
      </c>
      <c r="K157" s="68" t="s">
        <v>428</v>
      </c>
      <c r="L157" s="54">
        <v>371078.24</v>
      </c>
      <c r="M157" s="194">
        <f>L157/(I157-I157*3%)</f>
        <v>0.95638721649484537</v>
      </c>
      <c r="N157" s="233" t="s">
        <v>107</v>
      </c>
      <c r="O157" s="233" t="s">
        <v>107</v>
      </c>
      <c r="P157" s="233" t="s">
        <v>107</v>
      </c>
      <c r="Q157" s="233" t="s">
        <v>107</v>
      </c>
      <c r="R157" s="233" t="s">
        <v>107</v>
      </c>
      <c r="S157" s="233" t="s">
        <v>107</v>
      </c>
      <c r="T157" s="233" t="s">
        <v>107</v>
      </c>
      <c r="U157" s="233">
        <v>0</v>
      </c>
      <c r="V157" s="233">
        <v>0</v>
      </c>
      <c r="W157" s="234">
        <v>1</v>
      </c>
      <c r="X157" s="99"/>
      <c r="Y157" s="100"/>
    </row>
    <row r="158" spans="1:25" s="51" customFormat="1" ht="45">
      <c r="A158" s="39" t="s">
        <v>459</v>
      </c>
      <c r="B158" s="40" t="s">
        <v>460</v>
      </c>
      <c r="C158" s="18" t="s">
        <v>461</v>
      </c>
      <c r="D158" s="41" t="s">
        <v>28</v>
      </c>
      <c r="E158" s="42" t="s">
        <v>28</v>
      </c>
      <c r="F158" s="81" t="s">
        <v>462</v>
      </c>
      <c r="G158" s="43" t="s">
        <v>30</v>
      </c>
      <c r="H158" s="22">
        <f>0.3048*201</f>
        <v>61.264800000000001</v>
      </c>
      <c r="I158" s="65">
        <v>450000</v>
      </c>
      <c r="J158" s="21" t="s">
        <v>31</v>
      </c>
      <c r="K158" s="18" t="s">
        <v>106</v>
      </c>
      <c r="L158" s="53"/>
      <c r="M158" s="22"/>
      <c r="N158" s="233" t="s">
        <v>107</v>
      </c>
      <c r="O158" s="233" t="s">
        <v>107</v>
      </c>
      <c r="P158" s="233" t="s">
        <v>107</v>
      </c>
      <c r="Q158" s="233" t="s">
        <v>107</v>
      </c>
      <c r="R158" s="233" t="s">
        <v>107</v>
      </c>
      <c r="S158" s="233" t="s">
        <v>107</v>
      </c>
      <c r="T158" s="233" t="s">
        <v>107</v>
      </c>
      <c r="U158" s="233">
        <v>0</v>
      </c>
      <c r="V158" s="233">
        <v>0</v>
      </c>
      <c r="W158" s="234">
        <v>1</v>
      </c>
      <c r="X158" s="49"/>
      <c r="Y158" s="50"/>
    </row>
    <row r="159" spans="1:25" ht="45">
      <c r="A159" s="91">
        <v>156</v>
      </c>
      <c r="B159" s="110" t="s">
        <v>463</v>
      </c>
      <c r="C159" s="15" t="s">
        <v>464</v>
      </c>
      <c r="D159" s="93" t="s">
        <v>28</v>
      </c>
      <c r="E159" s="94" t="s">
        <v>28</v>
      </c>
      <c r="F159" s="250" t="s">
        <v>455</v>
      </c>
      <c r="G159" s="107" t="s">
        <v>30</v>
      </c>
      <c r="H159" s="33">
        <f>0.3048*96</f>
        <v>29.260800000000003</v>
      </c>
      <c r="I159" s="114">
        <v>250000</v>
      </c>
      <c r="J159" s="96" t="s">
        <v>31</v>
      </c>
      <c r="K159" s="68" t="s">
        <v>456</v>
      </c>
      <c r="L159" s="54"/>
      <c r="M159" s="38"/>
      <c r="N159" s="115" t="s">
        <v>107</v>
      </c>
      <c r="O159" s="115" t="s">
        <v>107</v>
      </c>
      <c r="P159" s="115" t="s">
        <v>107</v>
      </c>
      <c r="Q159" s="115" t="s">
        <v>107</v>
      </c>
      <c r="R159" s="115" t="s">
        <v>107</v>
      </c>
      <c r="S159" s="234">
        <v>1</v>
      </c>
      <c r="T159" s="99"/>
      <c r="U159" s="99"/>
      <c r="V159" s="99"/>
      <c r="W159" s="116"/>
      <c r="X159" s="99"/>
      <c r="Y159" s="100"/>
    </row>
    <row r="160" spans="1:25" ht="30">
      <c r="A160" s="91">
        <v>157</v>
      </c>
      <c r="B160" s="110" t="s">
        <v>465</v>
      </c>
      <c r="C160" s="15" t="s">
        <v>466</v>
      </c>
      <c r="D160" s="93" t="s">
        <v>28</v>
      </c>
      <c r="E160" s="94" t="s">
        <v>28</v>
      </c>
      <c r="F160" s="250" t="s">
        <v>455</v>
      </c>
      <c r="G160" s="107" t="s">
        <v>30</v>
      </c>
      <c r="H160" s="33">
        <f>0.3048*142</f>
        <v>43.281600000000005</v>
      </c>
      <c r="I160" s="114">
        <v>350000</v>
      </c>
      <c r="J160" s="96" t="s">
        <v>31</v>
      </c>
      <c r="K160" s="68" t="s">
        <v>467</v>
      </c>
      <c r="L160" s="54">
        <v>339500.89</v>
      </c>
      <c r="M160" s="38"/>
      <c r="N160" s="233" t="s">
        <v>107</v>
      </c>
      <c r="O160" s="233" t="s">
        <v>107</v>
      </c>
      <c r="P160" s="233" t="s">
        <v>107</v>
      </c>
      <c r="Q160" s="233" t="s">
        <v>107</v>
      </c>
      <c r="R160" s="233" t="s">
        <v>107</v>
      </c>
      <c r="S160" s="233" t="s">
        <v>107</v>
      </c>
      <c r="T160" s="233" t="s">
        <v>107</v>
      </c>
      <c r="U160" s="233">
        <v>0</v>
      </c>
      <c r="V160" s="233">
        <v>0</v>
      </c>
      <c r="W160" s="234">
        <v>1</v>
      </c>
      <c r="X160" s="246" t="s">
        <v>468</v>
      </c>
      <c r="Y160" s="100"/>
    </row>
    <row r="161" spans="1:25" ht="45">
      <c r="A161" s="91">
        <v>158</v>
      </c>
      <c r="B161" s="110" t="s">
        <v>469</v>
      </c>
      <c r="C161" s="15" t="s">
        <v>470</v>
      </c>
      <c r="D161" s="93" t="s">
        <v>28</v>
      </c>
      <c r="E161" s="94" t="s">
        <v>28</v>
      </c>
      <c r="F161" s="68" t="s">
        <v>471</v>
      </c>
      <c r="G161" s="107" t="s">
        <v>30</v>
      </c>
      <c r="H161" s="33">
        <f>0.3048*285</f>
        <v>86.868000000000009</v>
      </c>
      <c r="I161" s="114">
        <v>500000</v>
      </c>
      <c r="J161" s="96" t="s">
        <v>31</v>
      </c>
      <c r="K161" s="68" t="s">
        <v>472</v>
      </c>
      <c r="L161" s="54"/>
      <c r="M161" s="38"/>
      <c r="N161" s="233" t="s">
        <v>107</v>
      </c>
      <c r="O161" s="233" t="s">
        <v>107</v>
      </c>
      <c r="P161" s="233" t="s">
        <v>107</v>
      </c>
      <c r="Q161" s="233" t="s">
        <v>107</v>
      </c>
      <c r="R161" s="233" t="s">
        <v>107</v>
      </c>
      <c r="S161" s="233" t="s">
        <v>107</v>
      </c>
      <c r="T161" s="233" t="s">
        <v>107</v>
      </c>
      <c r="U161" s="233">
        <v>0</v>
      </c>
      <c r="V161" s="233">
        <v>0</v>
      </c>
      <c r="W161" s="234">
        <v>1</v>
      </c>
      <c r="X161" s="99"/>
      <c r="Y161" s="100"/>
    </row>
    <row r="162" spans="1:25" ht="45">
      <c r="A162" s="91">
        <v>159</v>
      </c>
      <c r="B162" s="110" t="s">
        <v>473</v>
      </c>
      <c r="C162" s="15" t="s">
        <v>474</v>
      </c>
      <c r="D162" s="93" t="s">
        <v>28</v>
      </c>
      <c r="E162" s="94" t="s">
        <v>28</v>
      </c>
      <c r="F162" s="68" t="s">
        <v>471</v>
      </c>
      <c r="G162" s="107" t="s">
        <v>30</v>
      </c>
      <c r="H162" s="33">
        <f>0.3048*160</f>
        <v>48.768000000000001</v>
      </c>
      <c r="I162" s="114">
        <v>300000</v>
      </c>
      <c r="J162" s="96" t="s">
        <v>31</v>
      </c>
      <c r="K162" s="68" t="s">
        <v>456</v>
      </c>
      <c r="L162" s="54"/>
      <c r="M162" s="38"/>
      <c r="N162" s="233" t="s">
        <v>107</v>
      </c>
      <c r="O162" s="233" t="s">
        <v>107</v>
      </c>
      <c r="P162" s="233" t="s">
        <v>107</v>
      </c>
      <c r="Q162" s="233" t="s">
        <v>107</v>
      </c>
      <c r="R162" s="233" t="s">
        <v>107</v>
      </c>
      <c r="S162" s="233" t="s">
        <v>107</v>
      </c>
      <c r="T162" s="233" t="s">
        <v>107</v>
      </c>
      <c r="U162" s="233">
        <v>0</v>
      </c>
      <c r="V162" s="233">
        <v>0</v>
      </c>
      <c r="W162" s="234">
        <v>1</v>
      </c>
      <c r="X162" s="99"/>
      <c r="Y162" s="100"/>
    </row>
    <row r="163" spans="1:25" ht="30">
      <c r="A163" s="91">
        <v>160</v>
      </c>
      <c r="B163" s="110" t="s">
        <v>475</v>
      </c>
      <c r="C163" s="38" t="s">
        <v>476</v>
      </c>
      <c r="D163" s="93" t="s">
        <v>28</v>
      </c>
      <c r="E163" s="94" t="s">
        <v>28</v>
      </c>
      <c r="F163" s="68" t="s">
        <v>471</v>
      </c>
      <c r="G163" s="107" t="s">
        <v>30</v>
      </c>
      <c r="H163" s="33">
        <f>0.3048*240</f>
        <v>73.152000000000001</v>
      </c>
      <c r="I163" s="114">
        <v>400000</v>
      </c>
      <c r="J163" s="96" t="s">
        <v>31</v>
      </c>
      <c r="K163" s="68" t="s">
        <v>416</v>
      </c>
      <c r="L163" s="54"/>
      <c r="M163" s="38"/>
      <c r="N163" s="233" t="s">
        <v>107</v>
      </c>
      <c r="O163" s="233" t="s">
        <v>107</v>
      </c>
      <c r="P163" s="233" t="s">
        <v>107</v>
      </c>
      <c r="Q163" s="233" t="s">
        <v>107</v>
      </c>
      <c r="R163" s="233" t="s">
        <v>107</v>
      </c>
      <c r="S163" s="233" t="s">
        <v>107</v>
      </c>
      <c r="T163" s="233" t="s">
        <v>107</v>
      </c>
      <c r="U163" s="233">
        <v>0</v>
      </c>
      <c r="V163" s="233">
        <v>0</v>
      </c>
      <c r="W163" s="234">
        <v>1</v>
      </c>
      <c r="X163" s="99"/>
      <c r="Y163" s="100"/>
    </row>
    <row r="164" spans="1:25" ht="45">
      <c r="A164" s="91">
        <v>161</v>
      </c>
      <c r="B164" s="110" t="s">
        <v>477</v>
      </c>
      <c r="C164" s="15" t="s">
        <v>478</v>
      </c>
      <c r="D164" s="93" t="s">
        <v>28</v>
      </c>
      <c r="E164" s="94" t="s">
        <v>28</v>
      </c>
      <c r="F164" s="68" t="s">
        <v>471</v>
      </c>
      <c r="G164" s="107" t="s">
        <v>30</v>
      </c>
      <c r="H164" s="33">
        <f>0.3048*75</f>
        <v>22.86</v>
      </c>
      <c r="I164" s="114">
        <v>250000</v>
      </c>
      <c r="J164" s="96" t="s">
        <v>31</v>
      </c>
      <c r="K164" s="68" t="s">
        <v>472</v>
      </c>
      <c r="L164" s="54"/>
      <c r="M164" s="38"/>
      <c r="N164" s="233" t="s">
        <v>107</v>
      </c>
      <c r="O164" s="233" t="s">
        <v>107</v>
      </c>
      <c r="P164" s="233" t="s">
        <v>107</v>
      </c>
      <c r="Q164" s="233" t="s">
        <v>107</v>
      </c>
      <c r="R164" s="115">
        <v>1</v>
      </c>
      <c r="S164" s="116"/>
      <c r="T164" s="99"/>
      <c r="U164" s="99"/>
      <c r="V164" s="99"/>
      <c r="W164" s="116"/>
      <c r="X164" s="99"/>
      <c r="Y164" s="100"/>
    </row>
    <row r="165" spans="1:25" ht="45">
      <c r="A165" s="91">
        <v>162</v>
      </c>
      <c r="B165" s="110" t="s">
        <v>479</v>
      </c>
      <c r="C165" s="15" t="s">
        <v>480</v>
      </c>
      <c r="D165" s="93" t="s">
        <v>28</v>
      </c>
      <c r="E165" s="94" t="s">
        <v>28</v>
      </c>
      <c r="F165" s="68" t="s">
        <v>471</v>
      </c>
      <c r="G165" s="107" t="s">
        <v>30</v>
      </c>
      <c r="H165" s="33">
        <f>0.3048*51</f>
        <v>15.5448</v>
      </c>
      <c r="I165" s="114">
        <v>250000</v>
      </c>
      <c r="J165" s="96" t="s">
        <v>31</v>
      </c>
      <c r="K165" s="68" t="s">
        <v>472</v>
      </c>
      <c r="L165" s="54"/>
      <c r="M165" s="38"/>
      <c r="N165" s="233" t="s">
        <v>107</v>
      </c>
      <c r="O165" s="233" t="s">
        <v>107</v>
      </c>
      <c r="P165" s="233" t="s">
        <v>107</v>
      </c>
      <c r="Q165" s="233" t="s">
        <v>107</v>
      </c>
      <c r="R165" s="115">
        <v>1</v>
      </c>
      <c r="S165" s="116"/>
      <c r="T165" s="99"/>
      <c r="U165" s="99"/>
      <c r="V165" s="99"/>
      <c r="W165" s="116"/>
      <c r="X165" s="99"/>
      <c r="Y165" s="100"/>
    </row>
    <row r="166" spans="1:25" ht="30">
      <c r="A166" s="91">
        <v>163</v>
      </c>
      <c r="B166" s="110" t="s">
        <v>481</v>
      </c>
      <c r="C166" s="15" t="s">
        <v>482</v>
      </c>
      <c r="D166" s="93" t="s">
        <v>28</v>
      </c>
      <c r="E166" s="94" t="s">
        <v>28</v>
      </c>
      <c r="F166" s="68" t="s">
        <v>483</v>
      </c>
      <c r="G166" s="107" t="s">
        <v>30</v>
      </c>
      <c r="H166" s="33">
        <f>0.3048*58</f>
        <v>17.6784</v>
      </c>
      <c r="I166" s="114">
        <v>350000</v>
      </c>
      <c r="J166" s="96" t="s">
        <v>31</v>
      </c>
      <c r="K166" s="68" t="s">
        <v>428</v>
      </c>
      <c r="L166" s="54"/>
      <c r="M166" s="38"/>
      <c r="N166" s="233" t="s">
        <v>107</v>
      </c>
      <c r="O166" s="233" t="s">
        <v>107</v>
      </c>
      <c r="P166" s="233" t="s">
        <v>107</v>
      </c>
      <c r="Q166" s="233" t="s">
        <v>107</v>
      </c>
      <c r="R166" s="233" t="s">
        <v>107</v>
      </c>
      <c r="S166" s="233" t="s">
        <v>107</v>
      </c>
      <c r="T166" s="233" t="s">
        <v>107</v>
      </c>
      <c r="U166" s="233">
        <v>0</v>
      </c>
      <c r="V166" s="233">
        <v>0</v>
      </c>
      <c r="W166" s="234">
        <v>1</v>
      </c>
      <c r="X166" s="99"/>
      <c r="Y166" s="100"/>
    </row>
    <row r="167" spans="1:25" ht="45">
      <c r="A167" s="91">
        <v>164</v>
      </c>
      <c r="B167" s="110" t="s">
        <v>484</v>
      </c>
      <c r="C167" s="15" t="s">
        <v>485</v>
      </c>
      <c r="D167" s="93" t="s">
        <v>28</v>
      </c>
      <c r="E167" s="94" t="s">
        <v>28</v>
      </c>
      <c r="F167" s="68" t="s">
        <v>483</v>
      </c>
      <c r="G167" s="107" t="s">
        <v>30</v>
      </c>
      <c r="H167" s="33">
        <f>0.3048*120</f>
        <v>36.576000000000001</v>
      </c>
      <c r="I167" s="114">
        <v>250000</v>
      </c>
      <c r="J167" s="96" t="s">
        <v>31</v>
      </c>
      <c r="K167" s="68" t="s">
        <v>486</v>
      </c>
      <c r="L167" s="54"/>
      <c r="M167" s="38"/>
      <c r="N167" s="115" t="s">
        <v>107</v>
      </c>
      <c r="O167" s="115" t="s">
        <v>107</v>
      </c>
      <c r="P167" s="115" t="s">
        <v>107</v>
      </c>
      <c r="Q167" s="115" t="s">
        <v>107</v>
      </c>
      <c r="R167" s="115">
        <v>1</v>
      </c>
      <c r="S167" s="116"/>
      <c r="T167" s="99"/>
      <c r="U167" s="99"/>
      <c r="V167" s="99"/>
      <c r="W167" s="116"/>
      <c r="X167" s="99"/>
      <c r="Y167" s="100"/>
    </row>
    <row r="168" spans="1:25" ht="45">
      <c r="A168" s="91">
        <v>165</v>
      </c>
      <c r="B168" s="110" t="s">
        <v>487</v>
      </c>
      <c r="C168" s="15" t="s">
        <v>488</v>
      </c>
      <c r="D168" s="93" t="s">
        <v>28</v>
      </c>
      <c r="E168" s="94" t="s">
        <v>28</v>
      </c>
      <c r="F168" s="68" t="s">
        <v>483</v>
      </c>
      <c r="G168" s="107" t="s">
        <v>30</v>
      </c>
      <c r="H168" s="33">
        <f>0.3048*70</f>
        <v>21.336000000000002</v>
      </c>
      <c r="I168" s="114">
        <v>250000</v>
      </c>
      <c r="J168" s="96" t="s">
        <v>31</v>
      </c>
      <c r="K168" s="68" t="s">
        <v>416</v>
      </c>
      <c r="L168" s="54"/>
      <c r="M168" s="38"/>
      <c r="N168" s="233" t="s">
        <v>107</v>
      </c>
      <c r="O168" s="233" t="s">
        <v>107</v>
      </c>
      <c r="P168" s="233" t="s">
        <v>107</v>
      </c>
      <c r="Q168" s="233" t="s">
        <v>107</v>
      </c>
      <c r="R168" s="233" t="s">
        <v>107</v>
      </c>
      <c r="S168" s="233" t="s">
        <v>107</v>
      </c>
      <c r="T168" s="233" t="s">
        <v>107</v>
      </c>
      <c r="U168" s="233">
        <v>0</v>
      </c>
      <c r="V168" s="233">
        <v>0</v>
      </c>
      <c r="W168" s="234">
        <v>1</v>
      </c>
      <c r="X168" s="99"/>
      <c r="Y168" s="100"/>
    </row>
    <row r="169" spans="1:25" ht="30">
      <c r="A169" s="91">
        <v>166</v>
      </c>
      <c r="B169" s="110" t="s">
        <v>489</v>
      </c>
      <c r="C169" s="15" t="s">
        <v>490</v>
      </c>
      <c r="D169" s="93" t="s">
        <v>28</v>
      </c>
      <c r="E169" s="94" t="s">
        <v>28</v>
      </c>
      <c r="F169" s="68" t="s">
        <v>483</v>
      </c>
      <c r="G169" s="107" t="s">
        <v>30</v>
      </c>
      <c r="H169" s="38"/>
      <c r="I169" s="114">
        <v>250000</v>
      </c>
      <c r="J169" s="96" t="s">
        <v>31</v>
      </c>
      <c r="K169" s="68" t="s">
        <v>416</v>
      </c>
      <c r="L169" s="54"/>
      <c r="M169" s="38"/>
      <c r="N169" s="233" t="s">
        <v>107</v>
      </c>
      <c r="O169" s="233" t="s">
        <v>107</v>
      </c>
      <c r="P169" s="233" t="s">
        <v>107</v>
      </c>
      <c r="Q169" s="233" t="s">
        <v>107</v>
      </c>
      <c r="R169" s="233" t="s">
        <v>107</v>
      </c>
      <c r="S169" s="233" t="s">
        <v>107</v>
      </c>
      <c r="T169" s="233" t="s">
        <v>107</v>
      </c>
      <c r="U169" s="233">
        <v>0</v>
      </c>
      <c r="V169" s="233">
        <v>0</v>
      </c>
      <c r="W169" s="234">
        <v>1</v>
      </c>
      <c r="X169" s="99"/>
      <c r="Y169" s="100"/>
    </row>
    <row r="170" spans="1:25" ht="30">
      <c r="A170" s="91">
        <v>167</v>
      </c>
      <c r="B170" s="110" t="s">
        <v>491</v>
      </c>
      <c r="C170" s="15" t="s">
        <v>492</v>
      </c>
      <c r="D170" s="93" t="s">
        <v>28</v>
      </c>
      <c r="E170" s="94" t="s">
        <v>28</v>
      </c>
      <c r="F170" s="68" t="s">
        <v>483</v>
      </c>
      <c r="G170" s="107" t="s">
        <v>30</v>
      </c>
      <c r="H170" s="38">
        <f>0.3048*100</f>
        <v>30.48</v>
      </c>
      <c r="I170" s="114">
        <v>150000</v>
      </c>
      <c r="J170" s="96" t="s">
        <v>31</v>
      </c>
      <c r="K170" s="68" t="s">
        <v>416</v>
      </c>
      <c r="L170" s="54"/>
      <c r="M170" s="38"/>
      <c r="N170" s="233" t="s">
        <v>107</v>
      </c>
      <c r="O170" s="233" t="s">
        <v>107</v>
      </c>
      <c r="P170" s="233" t="s">
        <v>107</v>
      </c>
      <c r="Q170" s="233" t="s">
        <v>107</v>
      </c>
      <c r="R170" s="233" t="s">
        <v>107</v>
      </c>
      <c r="S170" s="233" t="s">
        <v>107</v>
      </c>
      <c r="T170" s="233" t="s">
        <v>107</v>
      </c>
      <c r="U170" s="233">
        <v>0</v>
      </c>
      <c r="V170" s="233">
        <v>0</v>
      </c>
      <c r="W170" s="234">
        <v>1</v>
      </c>
      <c r="X170" s="99"/>
      <c r="Y170" s="100"/>
    </row>
    <row r="171" spans="1:25" ht="30">
      <c r="A171" s="91">
        <v>168</v>
      </c>
      <c r="B171" s="110" t="s">
        <v>493</v>
      </c>
      <c r="C171" s="15" t="s">
        <v>494</v>
      </c>
      <c r="D171" s="93" t="s">
        <v>28</v>
      </c>
      <c r="E171" s="94" t="s">
        <v>28</v>
      </c>
      <c r="F171" s="250" t="s">
        <v>495</v>
      </c>
      <c r="G171" s="107" t="s">
        <v>30</v>
      </c>
      <c r="H171" s="33">
        <v>10.36</v>
      </c>
      <c r="I171" s="31">
        <v>500000</v>
      </c>
      <c r="J171" s="96" t="s">
        <v>31</v>
      </c>
      <c r="K171" s="68" t="s">
        <v>496</v>
      </c>
      <c r="L171" s="54">
        <v>417190.52</v>
      </c>
      <c r="M171" s="194">
        <f>L171/(I171-I171*3%)</f>
        <v>0.86018663917525773</v>
      </c>
      <c r="N171" s="233" t="s">
        <v>107</v>
      </c>
      <c r="O171" s="233" t="s">
        <v>107</v>
      </c>
      <c r="P171" s="233" t="s">
        <v>107</v>
      </c>
      <c r="Q171" s="233" t="s">
        <v>107</v>
      </c>
      <c r="R171" s="233" t="s">
        <v>107</v>
      </c>
      <c r="S171" s="233" t="s">
        <v>107</v>
      </c>
      <c r="T171" s="233" t="s">
        <v>107</v>
      </c>
      <c r="U171" s="233">
        <v>0</v>
      </c>
      <c r="V171" s="233">
        <v>0</v>
      </c>
      <c r="W171" s="234">
        <v>1</v>
      </c>
      <c r="X171" s="99"/>
      <c r="Y171" s="100"/>
    </row>
    <row r="172" spans="1:25" ht="45">
      <c r="A172" s="91">
        <v>169</v>
      </c>
      <c r="B172" s="110" t="s">
        <v>497</v>
      </c>
      <c r="C172" s="15" t="s">
        <v>498</v>
      </c>
      <c r="D172" s="93" t="s">
        <v>28</v>
      </c>
      <c r="E172" s="94" t="s">
        <v>28</v>
      </c>
      <c r="F172" s="250" t="s">
        <v>495</v>
      </c>
      <c r="G172" s="107" t="s">
        <v>30</v>
      </c>
      <c r="H172" s="68">
        <f>0.3048*(102+20)</f>
        <v>37.185600000000001</v>
      </c>
      <c r="I172" s="31">
        <v>500000</v>
      </c>
      <c r="J172" s="96" t="s">
        <v>31</v>
      </c>
      <c r="K172" s="68" t="s">
        <v>496</v>
      </c>
      <c r="L172" s="54">
        <v>485000</v>
      </c>
      <c r="M172" s="194">
        <f>L172/(I172-I172*3%)</f>
        <v>1</v>
      </c>
      <c r="N172" s="233" t="s">
        <v>107</v>
      </c>
      <c r="O172" s="233" t="s">
        <v>107</v>
      </c>
      <c r="P172" s="233" t="s">
        <v>107</v>
      </c>
      <c r="Q172" s="233" t="s">
        <v>107</v>
      </c>
      <c r="R172" s="233" t="s">
        <v>107</v>
      </c>
      <c r="S172" s="233" t="s">
        <v>107</v>
      </c>
      <c r="T172" s="233" t="s">
        <v>107</v>
      </c>
      <c r="U172" s="233">
        <v>0</v>
      </c>
      <c r="V172" s="233">
        <v>0</v>
      </c>
      <c r="W172" s="234">
        <v>1</v>
      </c>
      <c r="X172" s="236" t="s">
        <v>499</v>
      </c>
      <c r="Y172" s="100"/>
    </row>
    <row r="173" spans="1:25" ht="30">
      <c r="A173" s="91">
        <v>170</v>
      </c>
      <c r="B173" s="110" t="s">
        <v>500</v>
      </c>
      <c r="C173" s="111" t="s">
        <v>501</v>
      </c>
      <c r="D173" s="93" t="s">
        <v>28</v>
      </c>
      <c r="E173" s="94" t="s">
        <v>28</v>
      </c>
      <c r="F173" s="250" t="s">
        <v>495</v>
      </c>
      <c r="G173" s="107" t="s">
        <v>30</v>
      </c>
      <c r="H173" s="38"/>
      <c r="I173" s="31">
        <v>500000</v>
      </c>
      <c r="J173" s="96" t="s">
        <v>31</v>
      </c>
      <c r="K173" s="15"/>
      <c r="L173" s="54"/>
      <c r="M173" s="38"/>
      <c r="N173" s="233" t="s">
        <v>107</v>
      </c>
      <c r="O173" s="118"/>
      <c r="P173" s="102"/>
      <c r="Q173" s="102"/>
      <c r="R173" s="115">
        <v>1</v>
      </c>
      <c r="S173" s="116"/>
      <c r="T173" s="99"/>
      <c r="U173" s="99"/>
      <c r="V173" s="99"/>
      <c r="W173" s="116"/>
      <c r="X173" s="99"/>
      <c r="Y173" s="100"/>
    </row>
    <row r="174" spans="1:25" ht="30">
      <c r="A174" s="91">
        <v>171</v>
      </c>
      <c r="B174" s="110" t="s">
        <v>502</v>
      </c>
      <c r="C174" s="251" t="s">
        <v>503</v>
      </c>
      <c r="D174" s="93" t="s">
        <v>28</v>
      </c>
      <c r="E174" s="94" t="s">
        <v>28</v>
      </c>
      <c r="F174" s="252" t="s">
        <v>504</v>
      </c>
      <c r="G174" s="107" t="s">
        <v>30</v>
      </c>
      <c r="H174" s="33">
        <v>80</v>
      </c>
      <c r="I174" s="31">
        <v>500000</v>
      </c>
      <c r="J174" s="96" t="s">
        <v>31</v>
      </c>
      <c r="K174" s="68" t="s">
        <v>496</v>
      </c>
      <c r="L174" s="54">
        <v>485000</v>
      </c>
      <c r="M174" s="194">
        <f t="shared" ref="M174:M177" si="27">L174/(I174-I174*3%)</f>
        <v>1</v>
      </c>
      <c r="N174" s="233" t="s">
        <v>107</v>
      </c>
      <c r="O174" s="233" t="s">
        <v>107</v>
      </c>
      <c r="P174" s="233" t="s">
        <v>107</v>
      </c>
      <c r="Q174" s="233" t="s">
        <v>107</v>
      </c>
      <c r="R174" s="233" t="s">
        <v>107</v>
      </c>
      <c r="S174" s="233" t="s">
        <v>107</v>
      </c>
      <c r="T174" s="233" t="s">
        <v>107</v>
      </c>
      <c r="U174" s="233">
        <f t="shared" ref="U174:V177" si="28">-U175</f>
        <v>0</v>
      </c>
      <c r="V174" s="233">
        <f t="shared" si="28"/>
        <v>0</v>
      </c>
      <c r="W174" s="234">
        <v>1</v>
      </c>
      <c r="X174" s="99"/>
      <c r="Y174" s="100"/>
    </row>
    <row r="175" spans="1:25" ht="45">
      <c r="A175" s="91">
        <v>172</v>
      </c>
      <c r="B175" s="110" t="s">
        <v>505</v>
      </c>
      <c r="C175" s="111" t="s">
        <v>506</v>
      </c>
      <c r="D175" s="93" t="s">
        <v>28</v>
      </c>
      <c r="E175" s="94" t="s">
        <v>28</v>
      </c>
      <c r="F175" s="111" t="s">
        <v>507</v>
      </c>
      <c r="G175" s="107" t="s">
        <v>30</v>
      </c>
      <c r="H175" s="33">
        <f>0.3048*249</f>
        <v>75.895200000000003</v>
      </c>
      <c r="I175" s="114">
        <v>1000000</v>
      </c>
      <c r="J175" s="96" t="s">
        <v>31</v>
      </c>
      <c r="K175" s="68" t="s">
        <v>508</v>
      </c>
      <c r="L175" s="54">
        <v>970000</v>
      </c>
      <c r="M175" s="194">
        <f t="shared" si="27"/>
        <v>1</v>
      </c>
      <c r="N175" s="233" t="s">
        <v>107</v>
      </c>
      <c r="O175" s="233" t="s">
        <v>107</v>
      </c>
      <c r="P175" s="233" t="s">
        <v>107</v>
      </c>
      <c r="Q175" s="233" t="s">
        <v>107</v>
      </c>
      <c r="R175" s="233" t="s">
        <v>107</v>
      </c>
      <c r="S175" s="233" t="s">
        <v>107</v>
      </c>
      <c r="T175" s="233" t="s">
        <v>107</v>
      </c>
      <c r="U175" s="233">
        <f t="shared" si="28"/>
        <v>0</v>
      </c>
      <c r="V175" s="233">
        <f t="shared" si="28"/>
        <v>0</v>
      </c>
      <c r="W175" s="234">
        <v>1</v>
      </c>
      <c r="X175" s="99"/>
      <c r="Y175" s="100"/>
    </row>
    <row r="176" spans="1:25" ht="45">
      <c r="A176" s="91">
        <v>173</v>
      </c>
      <c r="B176" s="110" t="s">
        <v>509</v>
      </c>
      <c r="C176" s="111" t="s">
        <v>510</v>
      </c>
      <c r="D176" s="93" t="s">
        <v>28</v>
      </c>
      <c r="E176" s="94" t="s">
        <v>28</v>
      </c>
      <c r="F176" s="111" t="s">
        <v>507</v>
      </c>
      <c r="G176" s="107" t="s">
        <v>30</v>
      </c>
      <c r="H176" s="38">
        <f>0.3048*348</f>
        <v>106.07040000000001</v>
      </c>
      <c r="I176" s="114">
        <v>1000000</v>
      </c>
      <c r="J176" s="96" t="s">
        <v>31</v>
      </c>
      <c r="K176" s="68" t="s">
        <v>157</v>
      </c>
      <c r="L176" s="54">
        <v>902100</v>
      </c>
      <c r="M176" s="194">
        <f t="shared" si="27"/>
        <v>0.93</v>
      </c>
      <c r="N176" s="233" t="s">
        <v>107</v>
      </c>
      <c r="O176" s="233" t="s">
        <v>107</v>
      </c>
      <c r="P176" s="233" t="s">
        <v>107</v>
      </c>
      <c r="Q176" s="233" t="s">
        <v>107</v>
      </c>
      <c r="R176" s="233" t="s">
        <v>107</v>
      </c>
      <c r="S176" s="233" t="s">
        <v>107</v>
      </c>
      <c r="T176" s="233" t="s">
        <v>107</v>
      </c>
      <c r="U176" s="233">
        <f t="shared" si="28"/>
        <v>0</v>
      </c>
      <c r="V176" s="233">
        <f t="shared" si="28"/>
        <v>0</v>
      </c>
      <c r="W176" s="234">
        <v>1</v>
      </c>
      <c r="X176" s="99"/>
      <c r="Y176" s="100"/>
    </row>
    <row r="177" spans="1:25" ht="45">
      <c r="A177" s="91">
        <v>174</v>
      </c>
      <c r="B177" s="110" t="s">
        <v>511</v>
      </c>
      <c r="C177" s="111" t="s">
        <v>512</v>
      </c>
      <c r="D177" s="93" t="s">
        <v>28</v>
      </c>
      <c r="E177" s="94" t="s">
        <v>28</v>
      </c>
      <c r="F177" s="111" t="s">
        <v>507</v>
      </c>
      <c r="G177" s="107" t="s">
        <v>30</v>
      </c>
      <c r="H177" s="33">
        <v>96.95</v>
      </c>
      <c r="I177" s="114">
        <v>500000</v>
      </c>
      <c r="J177" s="96" t="s">
        <v>31</v>
      </c>
      <c r="K177" s="68" t="s">
        <v>513</v>
      </c>
      <c r="L177" s="54">
        <v>421950</v>
      </c>
      <c r="M177" s="194">
        <f t="shared" si="27"/>
        <v>0.87</v>
      </c>
      <c r="N177" s="233" t="s">
        <v>107</v>
      </c>
      <c r="O177" s="233" t="s">
        <v>107</v>
      </c>
      <c r="P177" s="233" t="s">
        <v>107</v>
      </c>
      <c r="Q177" s="233" t="s">
        <v>107</v>
      </c>
      <c r="R177" s="233" t="s">
        <v>107</v>
      </c>
      <c r="S177" s="233" t="s">
        <v>107</v>
      </c>
      <c r="T177" s="233" t="s">
        <v>107</v>
      </c>
      <c r="U177" s="233">
        <f t="shared" si="28"/>
        <v>0</v>
      </c>
      <c r="V177" s="233">
        <f t="shared" si="28"/>
        <v>0</v>
      </c>
      <c r="W177" s="234">
        <v>1</v>
      </c>
      <c r="X177" s="99"/>
      <c r="Y177" s="100"/>
    </row>
    <row r="178" spans="1:25" ht="38.25">
      <c r="A178" s="91">
        <v>175</v>
      </c>
      <c r="B178" s="110" t="s">
        <v>514</v>
      </c>
      <c r="C178" s="111" t="s">
        <v>515</v>
      </c>
      <c r="D178" s="93" t="s">
        <v>28</v>
      </c>
      <c r="E178" s="94" t="s">
        <v>28</v>
      </c>
      <c r="F178" s="111" t="s">
        <v>507</v>
      </c>
      <c r="G178" s="107" t="s">
        <v>30</v>
      </c>
      <c r="H178" s="38"/>
      <c r="I178" s="114">
        <v>200000</v>
      </c>
      <c r="J178" s="96" t="s">
        <v>31</v>
      </c>
      <c r="K178" s="15"/>
      <c r="L178" s="54"/>
      <c r="M178" s="38"/>
      <c r="N178" s="115"/>
      <c r="O178" s="115">
        <v>1</v>
      </c>
      <c r="P178" s="102"/>
      <c r="Q178" s="102"/>
      <c r="R178" s="115"/>
      <c r="S178" s="116"/>
      <c r="T178" s="99"/>
      <c r="U178" s="99"/>
      <c r="V178" s="99"/>
      <c r="W178" s="116"/>
      <c r="X178" s="99"/>
      <c r="Y178" s="100" t="s">
        <v>516</v>
      </c>
    </row>
    <row r="179" spans="1:25" ht="45">
      <c r="A179" s="91">
        <v>176</v>
      </c>
      <c r="B179" s="110" t="s">
        <v>517</v>
      </c>
      <c r="C179" s="111" t="s">
        <v>518</v>
      </c>
      <c r="D179" s="93" t="s">
        <v>28</v>
      </c>
      <c r="E179" s="94" t="s">
        <v>28</v>
      </c>
      <c r="F179" s="111" t="s">
        <v>507</v>
      </c>
      <c r="G179" s="117" t="s">
        <v>30</v>
      </c>
      <c r="H179" s="38">
        <f>0.3048*102</f>
        <v>31.089600000000001</v>
      </c>
      <c r="I179" s="114">
        <v>300000</v>
      </c>
      <c r="J179" s="96" t="s">
        <v>31</v>
      </c>
      <c r="K179" s="15"/>
      <c r="L179" s="54"/>
      <c r="M179" s="38"/>
      <c r="N179" s="234" t="s">
        <v>107</v>
      </c>
      <c r="O179" s="234" t="s">
        <v>107</v>
      </c>
      <c r="P179" s="234" t="s">
        <v>107</v>
      </c>
      <c r="Q179" s="234" t="s">
        <v>107</v>
      </c>
      <c r="R179" s="234" t="s">
        <v>107</v>
      </c>
      <c r="S179" s="234" t="s">
        <v>107</v>
      </c>
      <c r="T179" s="234" t="s">
        <v>107</v>
      </c>
      <c r="U179" s="234" t="s">
        <v>107</v>
      </c>
      <c r="V179" s="234" t="s">
        <v>107</v>
      </c>
      <c r="W179" s="234">
        <v>1</v>
      </c>
      <c r="X179" s="99"/>
      <c r="Y179" s="100"/>
    </row>
    <row r="180" spans="1:25" ht="45">
      <c r="A180" s="91">
        <v>177</v>
      </c>
      <c r="B180" s="110" t="s">
        <v>519</v>
      </c>
      <c r="C180" s="111" t="s">
        <v>520</v>
      </c>
      <c r="D180" s="93" t="s">
        <v>28</v>
      </c>
      <c r="E180" s="94" t="s">
        <v>28</v>
      </c>
      <c r="F180" s="252" t="s">
        <v>521</v>
      </c>
      <c r="G180" s="107" t="s">
        <v>30</v>
      </c>
      <c r="H180" s="38"/>
      <c r="I180" s="114">
        <v>300000</v>
      </c>
      <c r="J180" s="96" t="s">
        <v>31</v>
      </c>
      <c r="K180" s="15"/>
      <c r="L180" s="54"/>
      <c r="M180" s="38"/>
      <c r="N180" s="234" t="s">
        <v>107</v>
      </c>
      <c r="O180" s="234" t="s">
        <v>107</v>
      </c>
      <c r="P180" s="234" t="s">
        <v>107</v>
      </c>
      <c r="Q180" s="234" t="s">
        <v>107</v>
      </c>
      <c r="R180" s="234" t="s">
        <v>107</v>
      </c>
      <c r="S180" s="234" t="s">
        <v>107</v>
      </c>
      <c r="T180" s="234" t="s">
        <v>107</v>
      </c>
      <c r="U180" s="234" t="s">
        <v>107</v>
      </c>
      <c r="V180" s="234" t="s">
        <v>107</v>
      </c>
      <c r="W180" s="234">
        <v>1</v>
      </c>
      <c r="X180" s="99"/>
      <c r="Y180" s="100"/>
    </row>
    <row r="181" spans="1:25" ht="45">
      <c r="A181" s="91">
        <v>178</v>
      </c>
      <c r="B181" s="110" t="s">
        <v>522</v>
      </c>
      <c r="C181" s="111" t="s">
        <v>523</v>
      </c>
      <c r="D181" s="93" t="s">
        <v>28</v>
      </c>
      <c r="E181" s="94" t="s">
        <v>28</v>
      </c>
      <c r="F181" s="252" t="s">
        <v>521</v>
      </c>
      <c r="G181" s="124" t="s">
        <v>30</v>
      </c>
      <c r="H181" s="38">
        <f>57.93</f>
        <v>57.93</v>
      </c>
      <c r="I181" s="114">
        <v>250000</v>
      </c>
      <c r="J181" s="96" t="s">
        <v>31</v>
      </c>
      <c r="K181" s="68" t="s">
        <v>416</v>
      </c>
      <c r="L181" s="54">
        <v>242500</v>
      </c>
      <c r="M181" s="194">
        <f>L181/(I181-I181*3%)</f>
        <v>1</v>
      </c>
      <c r="N181" s="234" t="s">
        <v>107</v>
      </c>
      <c r="O181" s="234" t="s">
        <v>107</v>
      </c>
      <c r="P181" s="234" t="s">
        <v>107</v>
      </c>
      <c r="Q181" s="234" t="s">
        <v>107</v>
      </c>
      <c r="R181" s="234" t="s">
        <v>107</v>
      </c>
      <c r="S181" s="234" t="s">
        <v>107</v>
      </c>
      <c r="T181" s="234" t="s">
        <v>107</v>
      </c>
      <c r="U181" s="234" t="s">
        <v>107</v>
      </c>
      <c r="V181" s="234" t="s">
        <v>107</v>
      </c>
      <c r="W181" s="234">
        <v>1</v>
      </c>
      <c r="X181" s="99"/>
      <c r="Y181" s="100"/>
    </row>
    <row r="182" spans="1:25" ht="45">
      <c r="A182" s="91">
        <v>179</v>
      </c>
      <c r="B182" s="110" t="s">
        <v>524</v>
      </c>
      <c r="C182" s="111" t="s">
        <v>525</v>
      </c>
      <c r="D182" s="93" t="s">
        <v>28</v>
      </c>
      <c r="E182" s="94" t="s">
        <v>28</v>
      </c>
      <c r="F182" s="252" t="s">
        <v>521</v>
      </c>
      <c r="G182" s="117" t="s">
        <v>30</v>
      </c>
      <c r="H182" s="38">
        <f>0.3048*44</f>
        <v>13.411200000000001</v>
      </c>
      <c r="I182" s="114">
        <v>100000</v>
      </c>
      <c r="J182" s="96" t="s">
        <v>31</v>
      </c>
      <c r="K182" s="15"/>
      <c r="L182" s="54"/>
      <c r="M182" s="38"/>
      <c r="N182" s="234" t="s">
        <v>107</v>
      </c>
      <c r="O182" s="234" t="s">
        <v>107</v>
      </c>
      <c r="P182" s="234" t="s">
        <v>107</v>
      </c>
      <c r="Q182" s="234" t="s">
        <v>107</v>
      </c>
      <c r="R182" s="234" t="s">
        <v>107</v>
      </c>
      <c r="S182" s="234" t="s">
        <v>107</v>
      </c>
      <c r="T182" s="234" t="s">
        <v>107</v>
      </c>
      <c r="U182" s="234" t="s">
        <v>107</v>
      </c>
      <c r="V182" s="234" t="s">
        <v>107</v>
      </c>
      <c r="W182" s="234">
        <v>1</v>
      </c>
      <c r="X182" s="99"/>
      <c r="Y182" s="100"/>
    </row>
    <row r="183" spans="1:25" ht="45.75" thickBot="1">
      <c r="A183" s="91">
        <v>180</v>
      </c>
      <c r="B183" s="110" t="s">
        <v>526</v>
      </c>
      <c r="C183" s="111" t="s">
        <v>527</v>
      </c>
      <c r="D183" s="93" t="s">
        <v>28</v>
      </c>
      <c r="E183" s="94" t="s">
        <v>28</v>
      </c>
      <c r="F183" s="252" t="s">
        <v>521</v>
      </c>
      <c r="G183" s="107" t="s">
        <v>30</v>
      </c>
      <c r="H183" s="38">
        <f>0.3048*91</f>
        <v>27.736800000000002</v>
      </c>
      <c r="I183" s="114">
        <v>250000</v>
      </c>
      <c r="J183" s="96" t="s">
        <v>31</v>
      </c>
      <c r="K183" s="68" t="s">
        <v>416</v>
      </c>
      <c r="L183" s="54">
        <v>242500</v>
      </c>
      <c r="M183" s="194">
        <f t="shared" ref="M183:M185" si="29">L183/(I183-I183*3%)</f>
        <v>1</v>
      </c>
      <c r="N183" s="234" t="s">
        <v>107</v>
      </c>
      <c r="O183" s="234" t="s">
        <v>107</v>
      </c>
      <c r="P183" s="234" t="s">
        <v>107</v>
      </c>
      <c r="Q183" s="234" t="s">
        <v>107</v>
      </c>
      <c r="R183" s="234" t="s">
        <v>107</v>
      </c>
      <c r="S183" s="234" t="s">
        <v>107</v>
      </c>
      <c r="T183" s="234" t="s">
        <v>107</v>
      </c>
      <c r="U183" s="234" t="s">
        <v>107</v>
      </c>
      <c r="V183" s="234" t="s">
        <v>107</v>
      </c>
      <c r="W183" s="234">
        <v>1</v>
      </c>
      <c r="X183" s="236" t="s">
        <v>528</v>
      </c>
      <c r="Y183" s="100"/>
    </row>
    <row r="184" spans="1:25" ht="30.75" thickBot="1">
      <c r="A184" s="91">
        <v>181</v>
      </c>
      <c r="B184" s="110" t="s">
        <v>529</v>
      </c>
      <c r="C184" s="111" t="s">
        <v>530</v>
      </c>
      <c r="D184" s="93" t="s">
        <v>28</v>
      </c>
      <c r="E184" s="94" t="s">
        <v>28</v>
      </c>
      <c r="F184" s="112" t="s">
        <v>531</v>
      </c>
      <c r="G184" s="107" t="s">
        <v>30</v>
      </c>
      <c r="H184" s="33">
        <f>0.3048*248</f>
        <v>75.590400000000002</v>
      </c>
      <c r="I184" s="114">
        <v>1000000</v>
      </c>
      <c r="J184" s="96" t="s">
        <v>31</v>
      </c>
      <c r="K184" s="68" t="s">
        <v>416</v>
      </c>
      <c r="L184" s="54">
        <v>970000</v>
      </c>
      <c r="M184" s="194">
        <f t="shared" si="29"/>
        <v>1</v>
      </c>
      <c r="N184" s="234" t="s">
        <v>107</v>
      </c>
      <c r="O184" s="234" t="s">
        <v>107</v>
      </c>
      <c r="P184" s="234" t="s">
        <v>107</v>
      </c>
      <c r="Q184" s="234" t="s">
        <v>107</v>
      </c>
      <c r="R184" s="234" t="s">
        <v>107</v>
      </c>
      <c r="S184" s="234" t="s">
        <v>107</v>
      </c>
      <c r="T184" s="234" t="s">
        <v>107</v>
      </c>
      <c r="U184" s="234" t="s">
        <v>107</v>
      </c>
      <c r="V184" s="234" t="s">
        <v>107</v>
      </c>
      <c r="W184" s="234">
        <v>1</v>
      </c>
      <c r="X184" s="99"/>
      <c r="Y184" s="100"/>
    </row>
    <row r="185" spans="1:25" ht="30">
      <c r="A185" s="91">
        <v>182</v>
      </c>
      <c r="B185" s="110" t="s">
        <v>532</v>
      </c>
      <c r="C185" s="68" t="s">
        <v>533</v>
      </c>
      <c r="D185" s="93" t="s">
        <v>28</v>
      </c>
      <c r="E185" s="94" t="s">
        <v>28</v>
      </c>
      <c r="F185" s="244" t="s">
        <v>531</v>
      </c>
      <c r="G185" s="107" t="s">
        <v>30</v>
      </c>
      <c r="H185" s="38">
        <f>0.3048*108</f>
        <v>32.918399999999998</v>
      </c>
      <c r="I185" s="114">
        <v>550000</v>
      </c>
      <c r="J185" s="96" t="s">
        <v>31</v>
      </c>
      <c r="K185" s="68" t="s">
        <v>416</v>
      </c>
      <c r="L185" s="54">
        <v>485000</v>
      </c>
      <c r="M185" s="194">
        <f t="shared" si="29"/>
        <v>0.90909090909090906</v>
      </c>
      <c r="N185" s="234" t="s">
        <v>107</v>
      </c>
      <c r="O185" s="234" t="s">
        <v>107</v>
      </c>
      <c r="P185" s="234" t="s">
        <v>107</v>
      </c>
      <c r="Q185" s="234" t="s">
        <v>107</v>
      </c>
      <c r="R185" s="234" t="s">
        <v>107</v>
      </c>
      <c r="S185" s="234" t="s">
        <v>107</v>
      </c>
      <c r="T185" s="234" t="s">
        <v>107</v>
      </c>
      <c r="U185" s="234" t="s">
        <v>107</v>
      </c>
      <c r="V185" s="234" t="s">
        <v>107</v>
      </c>
      <c r="W185" s="234">
        <v>1</v>
      </c>
      <c r="X185" s="99"/>
      <c r="Y185" s="100"/>
    </row>
    <row r="186" spans="1:25">
      <c r="A186" s="91">
        <v>183</v>
      </c>
      <c r="B186" s="110" t="s">
        <v>534</v>
      </c>
      <c r="C186" s="15" t="s">
        <v>535</v>
      </c>
      <c r="D186" s="93" t="s">
        <v>28</v>
      </c>
      <c r="E186" s="94" t="s">
        <v>28</v>
      </c>
      <c r="F186" s="68" t="s">
        <v>536</v>
      </c>
      <c r="G186" s="107" t="s">
        <v>30</v>
      </c>
      <c r="H186" s="33">
        <f>0.3048*464</f>
        <v>141.4272</v>
      </c>
      <c r="I186" s="31">
        <v>1000000</v>
      </c>
      <c r="J186" s="96" t="s">
        <v>31</v>
      </c>
      <c r="K186" s="15"/>
      <c r="L186" s="78">
        <v>950376.51</v>
      </c>
      <c r="M186" s="38"/>
      <c r="N186" s="234" t="s">
        <v>107</v>
      </c>
      <c r="O186" s="234" t="s">
        <v>107</v>
      </c>
      <c r="P186" s="234" t="s">
        <v>107</v>
      </c>
      <c r="Q186" s="234" t="s">
        <v>107</v>
      </c>
      <c r="R186" s="234" t="s">
        <v>107</v>
      </c>
      <c r="S186" s="234" t="s">
        <v>107</v>
      </c>
      <c r="T186" s="234" t="s">
        <v>107</v>
      </c>
      <c r="U186" s="234" t="s">
        <v>107</v>
      </c>
      <c r="V186" s="234" t="s">
        <v>107</v>
      </c>
      <c r="W186" s="234">
        <v>1</v>
      </c>
      <c r="X186" s="99"/>
      <c r="Y186" s="100"/>
    </row>
    <row r="187" spans="1:25" ht="30">
      <c r="A187" s="91">
        <v>184</v>
      </c>
      <c r="B187" s="110" t="s">
        <v>537</v>
      </c>
      <c r="C187" s="15" t="s">
        <v>538</v>
      </c>
      <c r="D187" s="93" t="s">
        <v>28</v>
      </c>
      <c r="E187" s="94" t="s">
        <v>28</v>
      </c>
      <c r="F187" s="68" t="s">
        <v>536</v>
      </c>
      <c r="G187" s="107" t="s">
        <v>30</v>
      </c>
      <c r="H187" s="33">
        <f>0.3048*276</f>
        <v>84.124800000000008</v>
      </c>
      <c r="I187" s="31">
        <v>1000000</v>
      </c>
      <c r="J187" s="96" t="s">
        <v>31</v>
      </c>
      <c r="K187" s="68" t="s">
        <v>486</v>
      </c>
      <c r="L187" s="54">
        <v>962091.34</v>
      </c>
      <c r="M187" s="194">
        <f t="shared" ref="M187:M189" si="30">L187/(I187-I187*3%)</f>
        <v>0.99184674226804115</v>
      </c>
      <c r="N187" s="234" t="s">
        <v>107</v>
      </c>
      <c r="O187" s="234" t="s">
        <v>107</v>
      </c>
      <c r="P187" s="234" t="s">
        <v>107</v>
      </c>
      <c r="Q187" s="234" t="s">
        <v>107</v>
      </c>
      <c r="R187" s="234" t="s">
        <v>107</v>
      </c>
      <c r="S187" s="234" t="s">
        <v>107</v>
      </c>
      <c r="T187" s="234" t="s">
        <v>107</v>
      </c>
      <c r="U187" s="234" t="s">
        <v>107</v>
      </c>
      <c r="V187" s="234" t="s">
        <v>107</v>
      </c>
      <c r="W187" s="234">
        <v>1</v>
      </c>
      <c r="X187" s="99"/>
      <c r="Y187" s="100"/>
    </row>
    <row r="188" spans="1:25" ht="30">
      <c r="A188" s="91">
        <v>185</v>
      </c>
      <c r="B188" s="110" t="s">
        <v>539</v>
      </c>
      <c r="C188" s="15" t="s">
        <v>540</v>
      </c>
      <c r="D188" s="93" t="s">
        <v>28</v>
      </c>
      <c r="E188" s="94" t="s">
        <v>28</v>
      </c>
      <c r="F188" s="68" t="s">
        <v>536</v>
      </c>
      <c r="G188" s="107" t="s">
        <v>30</v>
      </c>
      <c r="H188" s="33">
        <f>0.3048*132</f>
        <v>40.233600000000003</v>
      </c>
      <c r="I188" s="31">
        <v>500000</v>
      </c>
      <c r="J188" s="96" t="s">
        <v>31</v>
      </c>
      <c r="K188" s="68" t="s">
        <v>486</v>
      </c>
      <c r="L188" s="54">
        <v>485000</v>
      </c>
      <c r="M188" s="194">
        <f t="shared" si="30"/>
        <v>1</v>
      </c>
      <c r="N188" s="234" t="s">
        <v>107</v>
      </c>
      <c r="O188" s="234" t="s">
        <v>107</v>
      </c>
      <c r="P188" s="234" t="s">
        <v>107</v>
      </c>
      <c r="Q188" s="234" t="s">
        <v>107</v>
      </c>
      <c r="R188" s="234" t="s">
        <v>107</v>
      </c>
      <c r="S188" s="234" t="s">
        <v>107</v>
      </c>
      <c r="T188" s="234" t="s">
        <v>107</v>
      </c>
      <c r="U188" s="234" t="s">
        <v>107</v>
      </c>
      <c r="V188" s="234" t="s">
        <v>107</v>
      </c>
      <c r="W188" s="234">
        <v>1</v>
      </c>
      <c r="X188" s="99"/>
      <c r="Y188" s="100"/>
    </row>
    <row r="189" spans="1:25" s="51" customFormat="1" ht="45">
      <c r="A189" s="39" t="s">
        <v>541</v>
      </c>
      <c r="B189" s="40" t="s">
        <v>542</v>
      </c>
      <c r="C189" s="18" t="s">
        <v>543</v>
      </c>
      <c r="D189" s="41" t="s">
        <v>28</v>
      </c>
      <c r="E189" s="42" t="s">
        <v>28</v>
      </c>
      <c r="F189" s="18" t="s">
        <v>462</v>
      </c>
      <c r="G189" s="43" t="s">
        <v>30</v>
      </c>
      <c r="H189" s="33">
        <f>0.3048*57</f>
        <v>17.3736</v>
      </c>
      <c r="I189" s="45">
        <v>450000</v>
      </c>
      <c r="J189" s="21" t="s">
        <v>31</v>
      </c>
      <c r="K189" s="18" t="s">
        <v>544</v>
      </c>
      <c r="L189" s="53"/>
      <c r="M189" s="194">
        <f t="shared" si="30"/>
        <v>0</v>
      </c>
      <c r="N189" s="115" t="s">
        <v>107</v>
      </c>
      <c r="O189" s="115" t="s">
        <v>107</v>
      </c>
      <c r="P189" s="115" t="s">
        <v>107</v>
      </c>
      <c r="Q189" s="115" t="s">
        <v>107</v>
      </c>
      <c r="R189" s="115" t="s">
        <v>107</v>
      </c>
      <c r="S189" s="234">
        <v>1</v>
      </c>
      <c r="T189" s="49"/>
      <c r="U189" s="49"/>
      <c r="V189" s="49"/>
      <c r="W189" s="48"/>
      <c r="X189" s="49"/>
      <c r="Y189" s="50"/>
    </row>
    <row r="190" spans="1:25" ht="60">
      <c r="A190" s="91">
        <v>187</v>
      </c>
      <c r="B190" s="110" t="s">
        <v>545</v>
      </c>
      <c r="C190" s="15" t="s">
        <v>546</v>
      </c>
      <c r="D190" s="93" t="s">
        <v>28</v>
      </c>
      <c r="E190" s="94" t="s">
        <v>28</v>
      </c>
      <c r="F190" s="15" t="s">
        <v>547</v>
      </c>
      <c r="G190" s="107" t="s">
        <v>30</v>
      </c>
      <c r="H190" s="68">
        <f>65.86+128.05</f>
        <v>193.91000000000003</v>
      </c>
      <c r="I190" s="114">
        <v>1000000</v>
      </c>
      <c r="J190" s="96" t="s">
        <v>31</v>
      </c>
      <c r="K190" s="68" t="s">
        <v>548</v>
      </c>
      <c r="L190" s="54">
        <v>970000</v>
      </c>
      <c r="M190" s="194">
        <f>L190/(I190-I190*3%)</f>
        <v>1</v>
      </c>
      <c r="N190" s="233" t="s">
        <v>107</v>
      </c>
      <c r="O190" s="233" t="s">
        <v>107</v>
      </c>
      <c r="P190" s="233" t="s">
        <v>107</v>
      </c>
      <c r="Q190" s="233" t="s">
        <v>107</v>
      </c>
      <c r="R190" s="233" t="s">
        <v>107</v>
      </c>
      <c r="S190" s="233" t="s">
        <v>107</v>
      </c>
      <c r="T190" s="233" t="s">
        <v>107</v>
      </c>
      <c r="U190" s="233">
        <f>-U191</f>
        <v>0</v>
      </c>
      <c r="V190" s="233">
        <f>-V191</f>
        <v>0</v>
      </c>
      <c r="W190" s="234">
        <v>1</v>
      </c>
      <c r="X190" s="99"/>
      <c r="Y190" s="100"/>
    </row>
    <row r="191" spans="1:25" ht="60">
      <c r="A191" s="91">
        <v>188</v>
      </c>
      <c r="B191" s="110" t="s">
        <v>549</v>
      </c>
      <c r="C191" s="15" t="s">
        <v>550</v>
      </c>
      <c r="D191" s="93" t="s">
        <v>28</v>
      </c>
      <c r="E191" s="94" t="s">
        <v>28</v>
      </c>
      <c r="F191" s="15" t="s">
        <v>547</v>
      </c>
      <c r="G191" s="107" t="s">
        <v>30</v>
      </c>
      <c r="H191" s="38">
        <f>0.3048*126</f>
        <v>38.404800000000002</v>
      </c>
      <c r="I191" s="114">
        <v>300000</v>
      </c>
      <c r="J191" s="96" t="s">
        <v>31</v>
      </c>
      <c r="K191" s="68" t="s">
        <v>548</v>
      </c>
      <c r="L191" s="54"/>
      <c r="M191" s="38"/>
      <c r="N191" s="233" t="s">
        <v>107</v>
      </c>
      <c r="O191" s="233" t="s">
        <v>107</v>
      </c>
      <c r="P191" s="233" t="s">
        <v>107</v>
      </c>
      <c r="Q191" s="233" t="s">
        <v>107</v>
      </c>
      <c r="R191" s="233" t="s">
        <v>107</v>
      </c>
      <c r="S191" s="233" t="s">
        <v>107</v>
      </c>
      <c r="T191" s="233" t="s">
        <v>107</v>
      </c>
      <c r="U191" s="233">
        <f t="shared" ref="U191:V195" si="31">-U192</f>
        <v>0</v>
      </c>
      <c r="V191" s="233">
        <f t="shared" si="31"/>
        <v>0</v>
      </c>
      <c r="W191" s="234">
        <v>1</v>
      </c>
      <c r="X191" s="99"/>
      <c r="Y191" s="100"/>
    </row>
    <row r="192" spans="1:25" ht="60">
      <c r="A192" s="91">
        <v>189</v>
      </c>
      <c r="B192" s="110" t="s">
        <v>551</v>
      </c>
      <c r="C192" s="15" t="s">
        <v>552</v>
      </c>
      <c r="D192" s="93" t="s">
        <v>28</v>
      </c>
      <c r="E192" s="94" t="s">
        <v>28</v>
      </c>
      <c r="F192" s="15" t="s">
        <v>553</v>
      </c>
      <c r="G192" s="107" t="s">
        <v>30</v>
      </c>
      <c r="H192" s="38">
        <f>0.3048*86</f>
        <v>26.212800000000001</v>
      </c>
      <c r="I192" s="114">
        <v>300000</v>
      </c>
      <c r="J192" s="96" t="s">
        <v>31</v>
      </c>
      <c r="K192" s="68" t="s">
        <v>548</v>
      </c>
      <c r="L192" s="54"/>
      <c r="M192" s="38"/>
      <c r="N192" s="233" t="s">
        <v>107</v>
      </c>
      <c r="O192" s="233" t="s">
        <v>107</v>
      </c>
      <c r="P192" s="233" t="s">
        <v>107</v>
      </c>
      <c r="Q192" s="233" t="s">
        <v>107</v>
      </c>
      <c r="R192" s="233" t="s">
        <v>107</v>
      </c>
      <c r="S192" s="233" t="s">
        <v>107</v>
      </c>
      <c r="T192" s="233" t="s">
        <v>107</v>
      </c>
      <c r="U192" s="233">
        <f t="shared" si="31"/>
        <v>0</v>
      </c>
      <c r="V192" s="233">
        <f t="shared" si="31"/>
        <v>0</v>
      </c>
      <c r="W192" s="234">
        <v>1</v>
      </c>
      <c r="X192" s="99"/>
      <c r="Y192" s="100"/>
    </row>
    <row r="193" spans="1:25" ht="45">
      <c r="A193" s="91">
        <v>190</v>
      </c>
      <c r="B193" s="110" t="s">
        <v>554</v>
      </c>
      <c r="C193" s="15" t="s">
        <v>555</v>
      </c>
      <c r="D193" s="93" t="s">
        <v>28</v>
      </c>
      <c r="E193" s="94" t="s">
        <v>28</v>
      </c>
      <c r="F193" s="33" t="s">
        <v>556</v>
      </c>
      <c r="G193" s="107" t="s">
        <v>30</v>
      </c>
      <c r="H193" s="38">
        <f>0.3048*198</f>
        <v>60.3504</v>
      </c>
      <c r="I193" s="114">
        <v>500000</v>
      </c>
      <c r="J193" s="96" t="s">
        <v>31</v>
      </c>
      <c r="K193" s="68" t="s">
        <v>557</v>
      </c>
      <c r="L193" s="54"/>
      <c r="M193" s="38"/>
      <c r="N193" s="233" t="s">
        <v>107</v>
      </c>
      <c r="O193" s="233" t="s">
        <v>107</v>
      </c>
      <c r="P193" s="233" t="s">
        <v>107</v>
      </c>
      <c r="Q193" s="233" t="s">
        <v>107</v>
      </c>
      <c r="R193" s="233" t="s">
        <v>107</v>
      </c>
      <c r="S193" s="233" t="s">
        <v>107</v>
      </c>
      <c r="T193" s="233" t="s">
        <v>107</v>
      </c>
      <c r="U193" s="233">
        <f t="shared" si="31"/>
        <v>0</v>
      </c>
      <c r="V193" s="233">
        <f t="shared" si="31"/>
        <v>0</v>
      </c>
      <c r="W193" s="234">
        <v>1</v>
      </c>
      <c r="X193" s="246" t="s">
        <v>303</v>
      </c>
      <c r="Y193" s="100"/>
    </row>
    <row r="194" spans="1:25" ht="45">
      <c r="A194" s="91">
        <v>191</v>
      </c>
      <c r="B194" s="110" t="s">
        <v>558</v>
      </c>
      <c r="C194" s="15" t="s">
        <v>559</v>
      </c>
      <c r="D194" s="93" t="s">
        <v>28</v>
      </c>
      <c r="E194" s="94" t="s">
        <v>28</v>
      </c>
      <c r="F194" s="15" t="s">
        <v>556</v>
      </c>
      <c r="G194" s="107" t="s">
        <v>30</v>
      </c>
      <c r="H194" s="38">
        <f>0.3048*180</f>
        <v>54.864000000000004</v>
      </c>
      <c r="I194" s="114">
        <v>500000</v>
      </c>
      <c r="J194" s="96" t="s">
        <v>31</v>
      </c>
      <c r="K194" s="68" t="s">
        <v>557</v>
      </c>
      <c r="L194" s="54"/>
      <c r="M194" s="38"/>
      <c r="N194" s="233" t="s">
        <v>107</v>
      </c>
      <c r="O194" s="233" t="s">
        <v>107</v>
      </c>
      <c r="P194" s="233" t="s">
        <v>107</v>
      </c>
      <c r="Q194" s="233" t="s">
        <v>107</v>
      </c>
      <c r="R194" s="233" t="s">
        <v>107</v>
      </c>
      <c r="S194" s="233" t="s">
        <v>107</v>
      </c>
      <c r="T194" s="233" t="s">
        <v>107</v>
      </c>
      <c r="U194" s="233">
        <f t="shared" si="31"/>
        <v>0</v>
      </c>
      <c r="V194" s="233">
        <f t="shared" si="31"/>
        <v>0</v>
      </c>
      <c r="W194" s="234">
        <v>1</v>
      </c>
      <c r="X194" s="246" t="s">
        <v>303</v>
      </c>
      <c r="Y194" s="100"/>
    </row>
    <row r="195" spans="1:25" ht="30">
      <c r="A195" s="91">
        <v>192</v>
      </c>
      <c r="B195" s="110" t="s">
        <v>560</v>
      </c>
      <c r="C195" s="15" t="s">
        <v>561</v>
      </c>
      <c r="D195" s="93" t="s">
        <v>28</v>
      </c>
      <c r="E195" s="94" t="s">
        <v>28</v>
      </c>
      <c r="F195" s="15" t="s">
        <v>556</v>
      </c>
      <c r="G195" s="107" t="s">
        <v>30</v>
      </c>
      <c r="H195" s="38">
        <f>0.3048*179</f>
        <v>54.559200000000004</v>
      </c>
      <c r="I195" s="114">
        <v>500000</v>
      </c>
      <c r="J195" s="96" t="s">
        <v>31</v>
      </c>
      <c r="K195" s="15"/>
      <c r="L195" s="54"/>
      <c r="M195" s="38"/>
      <c r="N195" s="233" t="s">
        <v>107</v>
      </c>
      <c r="O195" s="233" t="s">
        <v>107</v>
      </c>
      <c r="P195" s="233" t="s">
        <v>107</v>
      </c>
      <c r="Q195" s="233" t="s">
        <v>107</v>
      </c>
      <c r="R195" s="233" t="s">
        <v>107</v>
      </c>
      <c r="S195" s="233" t="s">
        <v>107</v>
      </c>
      <c r="T195" s="233" t="s">
        <v>107</v>
      </c>
      <c r="U195" s="233">
        <f t="shared" si="31"/>
        <v>0</v>
      </c>
      <c r="V195" s="233">
        <f t="shared" si="31"/>
        <v>0</v>
      </c>
      <c r="W195" s="234">
        <v>1</v>
      </c>
      <c r="X195" s="99"/>
      <c r="Y195" s="100"/>
    </row>
    <row r="196" spans="1:25" s="51" customFormat="1" ht="45">
      <c r="A196" s="39" t="s">
        <v>562</v>
      </c>
      <c r="B196" s="40" t="s">
        <v>563</v>
      </c>
      <c r="C196" s="18" t="s">
        <v>564</v>
      </c>
      <c r="D196" s="41" t="s">
        <v>28</v>
      </c>
      <c r="E196" s="42" t="s">
        <v>28</v>
      </c>
      <c r="F196" s="18" t="s">
        <v>243</v>
      </c>
      <c r="G196" s="43" t="s">
        <v>30</v>
      </c>
      <c r="H196" s="22"/>
      <c r="I196" s="65">
        <v>700000</v>
      </c>
      <c r="J196" s="21" t="s">
        <v>31</v>
      </c>
      <c r="K196" s="18"/>
      <c r="L196" s="53"/>
      <c r="M196" s="22"/>
      <c r="N196" s="47">
        <v>1</v>
      </c>
      <c r="O196" s="47"/>
      <c r="P196" s="52"/>
      <c r="Q196" s="52"/>
      <c r="R196" s="47"/>
      <c r="S196" s="48"/>
      <c r="T196" s="46"/>
      <c r="U196" s="46"/>
      <c r="V196" s="46"/>
      <c r="W196" s="48"/>
      <c r="X196" s="49"/>
      <c r="Y196" s="50"/>
    </row>
    <row r="197" spans="1:25" ht="45">
      <c r="A197" s="91">
        <v>194</v>
      </c>
      <c r="B197" s="110" t="s">
        <v>565</v>
      </c>
      <c r="C197" s="15" t="s">
        <v>566</v>
      </c>
      <c r="D197" s="93" t="s">
        <v>28</v>
      </c>
      <c r="E197" s="94" t="s">
        <v>28</v>
      </c>
      <c r="F197" s="15" t="s">
        <v>567</v>
      </c>
      <c r="G197" s="107" t="s">
        <v>30</v>
      </c>
      <c r="H197" s="33">
        <f>0.3048*153</f>
        <v>46.634399999999999</v>
      </c>
      <c r="I197" s="31">
        <v>500000</v>
      </c>
      <c r="J197" s="96" t="s">
        <v>31</v>
      </c>
      <c r="K197" s="68" t="s">
        <v>568</v>
      </c>
      <c r="L197" s="54">
        <f>485000</f>
        <v>485000</v>
      </c>
      <c r="M197" s="194">
        <f>L197/(I197-I197*3%)</f>
        <v>1</v>
      </c>
      <c r="N197" s="233" t="s">
        <v>107</v>
      </c>
      <c r="O197" s="233" t="s">
        <v>107</v>
      </c>
      <c r="P197" s="233" t="s">
        <v>107</v>
      </c>
      <c r="Q197" s="233" t="s">
        <v>107</v>
      </c>
      <c r="R197" s="233" t="s">
        <v>107</v>
      </c>
      <c r="S197" s="233" t="s">
        <v>107</v>
      </c>
      <c r="T197" s="233" t="s">
        <v>107</v>
      </c>
      <c r="U197" s="233">
        <f>-U198</f>
        <v>0</v>
      </c>
      <c r="V197" s="233">
        <f>-V198</f>
        <v>0</v>
      </c>
      <c r="W197" s="234">
        <v>1</v>
      </c>
      <c r="X197" s="99"/>
      <c r="Y197" s="100"/>
    </row>
    <row r="198" spans="1:25" ht="30">
      <c r="A198" s="91">
        <v>195</v>
      </c>
      <c r="B198" s="110" t="s">
        <v>569</v>
      </c>
      <c r="C198" s="15" t="s">
        <v>570</v>
      </c>
      <c r="D198" s="93" t="s">
        <v>28</v>
      </c>
      <c r="E198" s="94" t="s">
        <v>28</v>
      </c>
      <c r="F198" s="15" t="s">
        <v>567</v>
      </c>
      <c r="G198" s="107" t="s">
        <v>30</v>
      </c>
      <c r="H198" s="68">
        <f>0.3048*(100+45+101)</f>
        <v>74.980800000000002</v>
      </c>
      <c r="I198" s="31">
        <v>500000</v>
      </c>
      <c r="J198" s="96" t="s">
        <v>31</v>
      </c>
      <c r="K198" s="15"/>
      <c r="L198" s="54"/>
      <c r="M198" s="38"/>
      <c r="N198" s="115" t="s">
        <v>107</v>
      </c>
      <c r="O198" s="115" t="s">
        <v>107</v>
      </c>
      <c r="P198" s="115" t="s">
        <v>107</v>
      </c>
      <c r="Q198" s="115" t="s">
        <v>107</v>
      </c>
      <c r="R198" s="115" t="s">
        <v>107</v>
      </c>
      <c r="S198" s="234">
        <v>1</v>
      </c>
      <c r="T198" s="234"/>
      <c r="U198" s="234"/>
      <c r="V198" s="234"/>
      <c r="W198" s="234"/>
      <c r="X198" s="99"/>
      <c r="Y198" s="100"/>
    </row>
    <row r="199" spans="1:25" ht="45">
      <c r="A199" s="91">
        <v>196</v>
      </c>
      <c r="B199" s="110" t="s">
        <v>571</v>
      </c>
      <c r="C199" s="15" t="s">
        <v>572</v>
      </c>
      <c r="D199" s="93" t="s">
        <v>28</v>
      </c>
      <c r="E199" s="94" t="s">
        <v>28</v>
      </c>
      <c r="F199" s="15" t="s">
        <v>567</v>
      </c>
      <c r="G199" s="107" t="s">
        <v>30</v>
      </c>
      <c r="H199" s="68">
        <f>0.3048*(111+101)</f>
        <v>64.61760000000001</v>
      </c>
      <c r="I199" s="31">
        <v>500000</v>
      </c>
      <c r="J199" s="96" t="s">
        <v>31</v>
      </c>
      <c r="K199" s="68" t="s">
        <v>573</v>
      </c>
      <c r="L199" s="54">
        <v>485000</v>
      </c>
      <c r="M199" s="194">
        <f t="shared" ref="M199:M201" si="32">L199/(I199-I199*3%)</f>
        <v>1</v>
      </c>
      <c r="N199" s="233" t="s">
        <v>107</v>
      </c>
      <c r="O199" s="233" t="s">
        <v>107</v>
      </c>
      <c r="P199" s="233" t="s">
        <v>107</v>
      </c>
      <c r="Q199" s="233" t="s">
        <v>107</v>
      </c>
      <c r="R199" s="233" t="s">
        <v>107</v>
      </c>
      <c r="S199" s="233" t="s">
        <v>107</v>
      </c>
      <c r="T199" s="233" t="s">
        <v>107</v>
      </c>
      <c r="U199" s="233">
        <f t="shared" ref="U199:V202" si="33">-U200</f>
        <v>0</v>
      </c>
      <c r="V199" s="233">
        <f t="shared" si="33"/>
        <v>0</v>
      </c>
      <c r="W199" s="234">
        <v>1</v>
      </c>
      <c r="X199" s="99"/>
      <c r="Y199" s="100"/>
    </row>
    <row r="200" spans="1:25" ht="45">
      <c r="A200" s="91">
        <v>197</v>
      </c>
      <c r="B200" s="110" t="s">
        <v>574</v>
      </c>
      <c r="C200" s="69" t="s">
        <v>575</v>
      </c>
      <c r="D200" s="93" t="s">
        <v>28</v>
      </c>
      <c r="E200" s="94" t="s">
        <v>28</v>
      </c>
      <c r="F200" s="15" t="s">
        <v>567</v>
      </c>
      <c r="G200" s="107" t="s">
        <v>30</v>
      </c>
      <c r="H200" s="33">
        <f>0.3048*228</f>
        <v>69.494399999999999</v>
      </c>
      <c r="I200" s="31">
        <v>500000</v>
      </c>
      <c r="J200" s="96" t="s">
        <v>31</v>
      </c>
      <c r="K200" s="68" t="s">
        <v>568</v>
      </c>
      <c r="L200" s="54">
        <f>485000</f>
        <v>485000</v>
      </c>
      <c r="M200" s="194">
        <f t="shared" si="32"/>
        <v>1</v>
      </c>
      <c r="N200" s="233" t="s">
        <v>107</v>
      </c>
      <c r="O200" s="233" t="s">
        <v>107</v>
      </c>
      <c r="P200" s="233" t="s">
        <v>107</v>
      </c>
      <c r="Q200" s="233" t="s">
        <v>107</v>
      </c>
      <c r="R200" s="233" t="s">
        <v>107</v>
      </c>
      <c r="S200" s="233" t="s">
        <v>107</v>
      </c>
      <c r="T200" s="233" t="s">
        <v>107</v>
      </c>
      <c r="U200" s="233">
        <f t="shared" si="33"/>
        <v>0</v>
      </c>
      <c r="V200" s="233">
        <f t="shared" si="33"/>
        <v>0</v>
      </c>
      <c r="W200" s="234">
        <v>1</v>
      </c>
      <c r="X200" s="99"/>
      <c r="Y200" s="100"/>
    </row>
    <row r="201" spans="1:25" ht="45">
      <c r="A201" s="91">
        <v>198</v>
      </c>
      <c r="B201" s="110" t="s">
        <v>576</v>
      </c>
      <c r="C201" s="15" t="s">
        <v>577</v>
      </c>
      <c r="D201" s="93" t="s">
        <v>28</v>
      </c>
      <c r="E201" s="94" t="s">
        <v>28</v>
      </c>
      <c r="F201" s="15" t="s">
        <v>567</v>
      </c>
      <c r="G201" s="107" t="s">
        <v>30</v>
      </c>
      <c r="H201" s="33"/>
      <c r="I201" s="31">
        <v>500000</v>
      </c>
      <c r="J201" s="96" t="s">
        <v>31</v>
      </c>
      <c r="K201" s="68" t="s">
        <v>573</v>
      </c>
      <c r="L201" s="54">
        <f>485000</f>
        <v>485000</v>
      </c>
      <c r="M201" s="194">
        <f t="shared" si="32"/>
        <v>1</v>
      </c>
      <c r="N201" s="233" t="s">
        <v>107</v>
      </c>
      <c r="O201" s="233" t="s">
        <v>107</v>
      </c>
      <c r="P201" s="233" t="s">
        <v>107</v>
      </c>
      <c r="Q201" s="233" t="s">
        <v>107</v>
      </c>
      <c r="R201" s="233" t="s">
        <v>107</v>
      </c>
      <c r="S201" s="233" t="s">
        <v>107</v>
      </c>
      <c r="T201" s="233" t="s">
        <v>107</v>
      </c>
      <c r="U201" s="233">
        <f t="shared" si="33"/>
        <v>0</v>
      </c>
      <c r="V201" s="233">
        <f t="shared" si="33"/>
        <v>0</v>
      </c>
      <c r="W201" s="234">
        <v>1</v>
      </c>
      <c r="X201" s="99"/>
      <c r="Y201" s="100"/>
    </row>
    <row r="202" spans="1:25" ht="30">
      <c r="A202" s="91">
        <v>199</v>
      </c>
      <c r="B202" s="110" t="s">
        <v>578</v>
      </c>
      <c r="C202" s="15" t="s">
        <v>579</v>
      </c>
      <c r="D202" s="93" t="s">
        <v>28</v>
      </c>
      <c r="E202" s="94" t="s">
        <v>28</v>
      </c>
      <c r="F202" s="15" t="s">
        <v>567</v>
      </c>
      <c r="G202" s="107" t="s">
        <v>30</v>
      </c>
      <c r="H202" s="33"/>
      <c r="I202" s="31">
        <v>500000</v>
      </c>
      <c r="J202" s="96" t="s">
        <v>31</v>
      </c>
      <c r="K202" s="15"/>
      <c r="L202" s="54"/>
      <c r="M202" s="38"/>
      <c r="N202" s="233" t="s">
        <v>107</v>
      </c>
      <c r="O202" s="233" t="s">
        <v>107</v>
      </c>
      <c r="P202" s="233" t="s">
        <v>107</v>
      </c>
      <c r="Q202" s="233" t="s">
        <v>107</v>
      </c>
      <c r="R202" s="233" t="s">
        <v>107</v>
      </c>
      <c r="S202" s="233" t="s">
        <v>107</v>
      </c>
      <c r="T202" s="233" t="s">
        <v>107</v>
      </c>
      <c r="U202" s="233">
        <f t="shared" si="33"/>
        <v>0</v>
      </c>
      <c r="V202" s="233">
        <f t="shared" si="33"/>
        <v>0</v>
      </c>
      <c r="W202" s="234">
        <v>1</v>
      </c>
      <c r="X202" s="99"/>
      <c r="Y202" s="100"/>
    </row>
    <row r="203" spans="1:25" ht="45">
      <c r="A203" s="91">
        <v>200</v>
      </c>
      <c r="B203" s="110" t="s">
        <v>580</v>
      </c>
      <c r="C203" s="111" t="s">
        <v>581</v>
      </c>
      <c r="D203" s="93" t="s">
        <v>28</v>
      </c>
      <c r="E203" s="94" t="s">
        <v>28</v>
      </c>
      <c r="F203" s="111" t="s">
        <v>582</v>
      </c>
      <c r="G203" s="107" t="s">
        <v>30</v>
      </c>
      <c r="H203" s="33">
        <f>0.3048*(100+129)</f>
        <v>69.799199999999999</v>
      </c>
      <c r="I203" s="31">
        <v>500000</v>
      </c>
      <c r="J203" s="96" t="s">
        <v>31</v>
      </c>
      <c r="K203" s="68" t="s">
        <v>573</v>
      </c>
      <c r="L203" s="54">
        <v>485000</v>
      </c>
      <c r="M203" s="194">
        <f>L203/(I203-I203*3%)</f>
        <v>1</v>
      </c>
      <c r="N203" s="233" t="s">
        <v>107</v>
      </c>
      <c r="O203" s="233" t="s">
        <v>107</v>
      </c>
      <c r="P203" s="233" t="s">
        <v>107</v>
      </c>
      <c r="Q203" s="233" t="s">
        <v>107</v>
      </c>
      <c r="R203" s="233" t="s">
        <v>107</v>
      </c>
      <c r="S203" s="233" t="s">
        <v>107</v>
      </c>
      <c r="T203" s="233" t="s">
        <v>107</v>
      </c>
      <c r="U203" s="233">
        <f>-U204</f>
        <v>0</v>
      </c>
      <c r="V203" s="233">
        <f>-V204</f>
        <v>0</v>
      </c>
      <c r="W203" s="234">
        <v>1</v>
      </c>
      <c r="X203" s="99"/>
      <c r="Y203" s="100"/>
    </row>
    <row r="204" spans="1:25" ht="45">
      <c r="A204" s="91">
        <v>201</v>
      </c>
      <c r="B204" s="110" t="s">
        <v>583</v>
      </c>
      <c r="C204" s="111" t="s">
        <v>584</v>
      </c>
      <c r="D204" s="93" t="s">
        <v>28</v>
      </c>
      <c r="E204" s="94" t="s">
        <v>28</v>
      </c>
      <c r="F204" s="111" t="s">
        <v>582</v>
      </c>
      <c r="G204" s="107" t="s">
        <v>30</v>
      </c>
      <c r="H204" s="33">
        <f>0.3048*167</f>
        <v>50.901600000000002</v>
      </c>
      <c r="I204" s="31">
        <v>250000</v>
      </c>
      <c r="J204" s="96" t="s">
        <v>31</v>
      </c>
      <c r="K204" s="68" t="s">
        <v>568</v>
      </c>
      <c r="L204" s="54"/>
      <c r="M204" s="38"/>
      <c r="N204" s="115" t="s">
        <v>107</v>
      </c>
      <c r="O204" s="115"/>
      <c r="P204" s="115" t="s">
        <v>107</v>
      </c>
      <c r="Q204" s="115" t="s">
        <v>107</v>
      </c>
      <c r="R204" s="115">
        <v>1</v>
      </c>
      <c r="S204" s="116"/>
      <c r="T204" s="99"/>
      <c r="U204" s="99"/>
      <c r="V204" s="99"/>
      <c r="W204" s="116"/>
      <c r="X204" s="99"/>
      <c r="Y204" s="100" t="s">
        <v>585</v>
      </c>
    </row>
    <row r="205" spans="1:25" ht="30">
      <c r="A205" s="91">
        <v>202</v>
      </c>
      <c r="B205" s="110" t="s">
        <v>586</v>
      </c>
      <c r="C205" s="111" t="s">
        <v>587</v>
      </c>
      <c r="D205" s="93" t="s">
        <v>28</v>
      </c>
      <c r="E205" s="94" t="s">
        <v>28</v>
      </c>
      <c r="F205" s="111" t="s">
        <v>582</v>
      </c>
      <c r="G205" s="107" t="s">
        <v>30</v>
      </c>
      <c r="H205" s="38">
        <f>0.3048*98</f>
        <v>29.8704</v>
      </c>
      <c r="I205" s="31">
        <v>250000</v>
      </c>
      <c r="J205" s="96" t="s">
        <v>31</v>
      </c>
      <c r="K205" s="15"/>
      <c r="L205" s="54"/>
      <c r="M205" s="38"/>
      <c r="N205" s="115" t="s">
        <v>107</v>
      </c>
      <c r="O205" s="115"/>
      <c r="P205" s="115" t="s">
        <v>107</v>
      </c>
      <c r="Q205" s="115" t="s">
        <v>107</v>
      </c>
      <c r="R205" s="115">
        <v>1</v>
      </c>
      <c r="S205" s="116"/>
      <c r="T205" s="99"/>
      <c r="U205" s="99"/>
      <c r="V205" s="99"/>
      <c r="W205" s="116"/>
      <c r="X205" s="99"/>
      <c r="Y205" s="100" t="s">
        <v>585</v>
      </c>
    </row>
    <row r="206" spans="1:25" ht="45">
      <c r="A206" s="91">
        <v>203</v>
      </c>
      <c r="B206" s="110" t="s">
        <v>588</v>
      </c>
      <c r="C206" s="111" t="s">
        <v>589</v>
      </c>
      <c r="D206" s="93" t="s">
        <v>28</v>
      </c>
      <c r="E206" s="94" t="s">
        <v>28</v>
      </c>
      <c r="F206" s="111" t="s">
        <v>582</v>
      </c>
      <c r="G206" s="107" t="s">
        <v>30</v>
      </c>
      <c r="H206" s="38">
        <f>0.3048*204</f>
        <v>62.179200000000002</v>
      </c>
      <c r="I206" s="31">
        <v>500000</v>
      </c>
      <c r="J206" s="96" t="s">
        <v>31</v>
      </c>
      <c r="K206" s="68" t="s">
        <v>568</v>
      </c>
      <c r="L206" s="54">
        <v>485000</v>
      </c>
      <c r="M206" s="194">
        <f>L206/(I206-I206*3%)</f>
        <v>1</v>
      </c>
      <c r="N206" s="233" t="s">
        <v>107</v>
      </c>
      <c r="O206" s="233" t="s">
        <v>107</v>
      </c>
      <c r="P206" s="233" t="s">
        <v>107</v>
      </c>
      <c r="Q206" s="233" t="s">
        <v>107</v>
      </c>
      <c r="R206" s="233" t="s">
        <v>107</v>
      </c>
      <c r="S206" s="233" t="s">
        <v>107</v>
      </c>
      <c r="T206" s="233" t="s">
        <v>107</v>
      </c>
      <c r="U206" s="233">
        <f>-U207</f>
        <v>0</v>
      </c>
      <c r="V206" s="233">
        <f>-V207</f>
        <v>0</v>
      </c>
      <c r="W206" s="234">
        <v>1</v>
      </c>
      <c r="X206" s="99"/>
      <c r="Y206" s="100"/>
    </row>
    <row r="207" spans="1:25" ht="30">
      <c r="A207" s="91">
        <v>204</v>
      </c>
      <c r="B207" s="110" t="s">
        <v>590</v>
      </c>
      <c r="C207" s="111" t="s">
        <v>591</v>
      </c>
      <c r="D207" s="93" t="s">
        <v>28</v>
      </c>
      <c r="E207" s="94" t="s">
        <v>28</v>
      </c>
      <c r="F207" s="111" t="s">
        <v>582</v>
      </c>
      <c r="G207" s="107" t="s">
        <v>30</v>
      </c>
      <c r="H207" s="68">
        <f>0.3048*(73+15)</f>
        <v>26.822400000000002</v>
      </c>
      <c r="I207" s="31">
        <v>250000</v>
      </c>
      <c r="J207" s="96" t="s">
        <v>31</v>
      </c>
      <c r="K207" s="15"/>
      <c r="L207" s="54"/>
      <c r="M207" s="38"/>
      <c r="N207" s="115" t="s">
        <v>107</v>
      </c>
      <c r="O207" s="115"/>
      <c r="P207" s="115" t="s">
        <v>107</v>
      </c>
      <c r="Q207" s="115" t="s">
        <v>107</v>
      </c>
      <c r="R207" s="115">
        <v>1</v>
      </c>
      <c r="S207" s="116"/>
      <c r="T207" s="99"/>
      <c r="U207" s="99"/>
      <c r="V207" s="99"/>
      <c r="W207" s="116"/>
      <c r="X207" s="99"/>
      <c r="Y207" s="100"/>
    </row>
    <row r="208" spans="1:25" ht="30">
      <c r="A208" s="91">
        <v>205</v>
      </c>
      <c r="B208" s="110" t="s">
        <v>592</v>
      </c>
      <c r="C208" s="111" t="s">
        <v>593</v>
      </c>
      <c r="D208" s="93" t="s">
        <v>28</v>
      </c>
      <c r="E208" s="94" t="s">
        <v>28</v>
      </c>
      <c r="F208" s="111" t="s">
        <v>594</v>
      </c>
      <c r="G208" s="107" t="s">
        <v>30</v>
      </c>
      <c r="H208" s="38">
        <f>0.3048*80</f>
        <v>24.384</v>
      </c>
      <c r="I208" s="114">
        <v>200000</v>
      </c>
      <c r="J208" s="96" t="s">
        <v>31</v>
      </c>
      <c r="K208" s="68" t="s">
        <v>595</v>
      </c>
      <c r="L208" s="54"/>
      <c r="M208" s="38"/>
      <c r="N208" s="115" t="s">
        <v>107</v>
      </c>
      <c r="O208" s="115" t="s">
        <v>107</v>
      </c>
      <c r="P208" s="115" t="s">
        <v>107</v>
      </c>
      <c r="Q208" s="115" t="s">
        <v>107</v>
      </c>
      <c r="R208" s="233" t="s">
        <v>107</v>
      </c>
      <c r="S208" s="233" t="s">
        <v>107</v>
      </c>
      <c r="T208" s="233" t="s">
        <v>107</v>
      </c>
      <c r="U208" s="233">
        <f>-U209</f>
        <v>0</v>
      </c>
      <c r="V208" s="233">
        <f>-V209</f>
        <v>0</v>
      </c>
      <c r="W208" s="234">
        <v>1</v>
      </c>
      <c r="X208" s="99"/>
      <c r="Y208" s="100"/>
    </row>
    <row r="209" spans="1:25" ht="45">
      <c r="A209" s="91">
        <v>206</v>
      </c>
      <c r="B209" s="110" t="s">
        <v>596</v>
      </c>
      <c r="C209" s="111" t="s">
        <v>597</v>
      </c>
      <c r="D209" s="93" t="s">
        <v>28</v>
      </c>
      <c r="E209" s="94" t="s">
        <v>28</v>
      </c>
      <c r="F209" s="111" t="s">
        <v>594</v>
      </c>
      <c r="G209" s="107" t="s">
        <v>30</v>
      </c>
      <c r="H209" s="38"/>
      <c r="I209" s="114">
        <v>200000</v>
      </c>
      <c r="J209" s="96" t="s">
        <v>31</v>
      </c>
      <c r="K209" s="15"/>
      <c r="L209" s="54"/>
      <c r="M209" s="38"/>
      <c r="N209" s="115" t="s">
        <v>107</v>
      </c>
      <c r="O209" s="115" t="s">
        <v>107</v>
      </c>
      <c r="P209" s="115" t="s">
        <v>107</v>
      </c>
      <c r="Q209" s="115" t="s">
        <v>107</v>
      </c>
      <c r="R209" s="115">
        <v>1</v>
      </c>
      <c r="S209" s="116"/>
      <c r="T209" s="99"/>
      <c r="U209" s="99"/>
      <c r="V209" s="99"/>
      <c r="W209" s="116"/>
      <c r="X209" s="99"/>
      <c r="Y209" s="100"/>
    </row>
    <row r="210" spans="1:25" ht="60">
      <c r="A210" s="91">
        <v>207</v>
      </c>
      <c r="B210" s="110" t="s">
        <v>598</v>
      </c>
      <c r="C210" s="69" t="s">
        <v>599</v>
      </c>
      <c r="D210" s="93" t="s">
        <v>28</v>
      </c>
      <c r="E210" s="94" t="s">
        <v>28</v>
      </c>
      <c r="F210" s="111" t="s">
        <v>600</v>
      </c>
      <c r="G210" s="107" t="s">
        <v>30</v>
      </c>
      <c r="H210" s="33">
        <f>0.3048*310</f>
        <v>94.488</v>
      </c>
      <c r="I210" s="114">
        <v>1200000</v>
      </c>
      <c r="J210" s="96" t="s">
        <v>31</v>
      </c>
      <c r="K210" s="119" t="s">
        <v>595</v>
      </c>
      <c r="L210" s="54">
        <v>1164000</v>
      </c>
      <c r="M210" s="194">
        <f>L210/(I210-I210*3%)</f>
        <v>1</v>
      </c>
      <c r="N210" s="233" t="s">
        <v>107</v>
      </c>
      <c r="O210" s="233" t="s">
        <v>107</v>
      </c>
      <c r="P210" s="233" t="s">
        <v>107</v>
      </c>
      <c r="Q210" s="233" t="s">
        <v>107</v>
      </c>
      <c r="R210" s="233" t="s">
        <v>107</v>
      </c>
      <c r="S210" s="233" t="s">
        <v>107</v>
      </c>
      <c r="T210" s="233" t="s">
        <v>107</v>
      </c>
      <c r="U210" s="233">
        <v>0</v>
      </c>
      <c r="V210" s="233">
        <v>0</v>
      </c>
      <c r="W210" s="234">
        <v>1</v>
      </c>
      <c r="X210" s="99"/>
      <c r="Y210" s="100"/>
    </row>
    <row r="211" spans="1:25" ht="60.75" thickBot="1">
      <c r="A211" s="91">
        <v>208</v>
      </c>
      <c r="B211" s="110" t="s">
        <v>601</v>
      </c>
      <c r="C211" s="69" t="s">
        <v>602</v>
      </c>
      <c r="D211" s="93" t="s">
        <v>28</v>
      </c>
      <c r="E211" s="94" t="s">
        <v>28</v>
      </c>
      <c r="F211" s="253" t="s">
        <v>603</v>
      </c>
      <c r="G211" s="107" t="s">
        <v>30</v>
      </c>
      <c r="H211" s="38">
        <f>0.3048*283</f>
        <v>86.258400000000009</v>
      </c>
      <c r="I211" s="31">
        <v>500000</v>
      </c>
      <c r="J211" s="96" t="s">
        <v>31</v>
      </c>
      <c r="K211" s="68" t="s">
        <v>604</v>
      </c>
      <c r="L211" s="54"/>
      <c r="M211" s="38"/>
      <c r="N211" s="115" t="s">
        <v>107</v>
      </c>
      <c r="O211" s="115" t="s">
        <v>107</v>
      </c>
      <c r="P211" s="115" t="s">
        <v>107</v>
      </c>
      <c r="Q211" s="115" t="s">
        <v>107</v>
      </c>
      <c r="R211" s="115" t="s">
        <v>107</v>
      </c>
      <c r="S211" s="115" t="s">
        <v>107</v>
      </c>
      <c r="T211" s="115" t="s">
        <v>107</v>
      </c>
      <c r="U211" s="115" t="s">
        <v>107</v>
      </c>
      <c r="V211" s="115" t="s">
        <v>107</v>
      </c>
      <c r="W211" s="234">
        <v>1</v>
      </c>
      <c r="X211" s="99"/>
      <c r="Y211" s="100"/>
    </row>
    <row r="212" spans="1:25" s="51" customFormat="1" ht="30.75" thickBot="1">
      <c r="A212" s="39" t="s">
        <v>605</v>
      </c>
      <c r="B212" s="40" t="s">
        <v>606</v>
      </c>
      <c r="C212" s="82" t="s">
        <v>607</v>
      </c>
      <c r="D212" s="41" t="s">
        <v>28</v>
      </c>
      <c r="E212" s="42" t="s">
        <v>28</v>
      </c>
      <c r="F212" s="83" t="s">
        <v>608</v>
      </c>
      <c r="G212" s="43" t="s">
        <v>30</v>
      </c>
      <c r="H212" s="22"/>
      <c r="I212" s="65">
        <v>700000</v>
      </c>
      <c r="J212" s="21" t="s">
        <v>31</v>
      </c>
      <c r="K212" s="18"/>
      <c r="L212" s="53"/>
      <c r="M212" s="22"/>
      <c r="N212" s="47">
        <v>1</v>
      </c>
      <c r="O212" s="84"/>
      <c r="P212" s="52"/>
      <c r="Q212" s="52"/>
      <c r="R212" s="47"/>
      <c r="S212" s="48"/>
      <c r="T212" s="46"/>
      <c r="U212" s="46"/>
      <c r="V212" s="46"/>
      <c r="W212" s="48"/>
      <c r="X212" s="49"/>
      <c r="Y212" s="50"/>
    </row>
    <row r="213" spans="1:25" ht="30.75" thickBot="1">
      <c r="A213" s="91">
        <v>210</v>
      </c>
      <c r="B213" s="110" t="s">
        <v>609</v>
      </c>
      <c r="C213" s="69" t="s">
        <v>610</v>
      </c>
      <c r="D213" s="93" t="s">
        <v>28</v>
      </c>
      <c r="E213" s="94" t="s">
        <v>28</v>
      </c>
      <c r="F213" s="254" t="s">
        <v>603</v>
      </c>
      <c r="G213" s="107" t="s">
        <v>30</v>
      </c>
      <c r="H213" s="33">
        <f>0.3048*12</f>
        <v>3.6576000000000004</v>
      </c>
      <c r="I213" s="31">
        <v>250000</v>
      </c>
      <c r="J213" s="96" t="s">
        <v>31</v>
      </c>
      <c r="K213" s="15"/>
      <c r="L213" s="54"/>
      <c r="M213" s="38"/>
      <c r="N213" s="115" t="s">
        <v>107</v>
      </c>
      <c r="O213" s="115" t="s">
        <v>107</v>
      </c>
      <c r="P213" s="115" t="s">
        <v>107</v>
      </c>
      <c r="Q213" s="115" t="s">
        <v>107</v>
      </c>
      <c r="R213" s="115" t="s">
        <v>107</v>
      </c>
      <c r="S213" s="115" t="s">
        <v>107</v>
      </c>
      <c r="T213" s="115" t="s">
        <v>107</v>
      </c>
      <c r="U213" s="115" t="s">
        <v>107</v>
      </c>
      <c r="V213" s="115" t="s">
        <v>107</v>
      </c>
      <c r="W213" s="234">
        <v>1</v>
      </c>
      <c r="X213" s="99"/>
      <c r="Y213" s="100"/>
    </row>
    <row r="214" spans="1:25" s="59" customFormat="1" ht="30.75" thickBot="1">
      <c r="A214" s="120">
        <v>211</v>
      </c>
      <c r="B214" s="121" t="s">
        <v>375</v>
      </c>
      <c r="C214" s="255" t="s">
        <v>611</v>
      </c>
      <c r="D214" s="122" t="s">
        <v>28</v>
      </c>
      <c r="E214" s="123" t="s">
        <v>28</v>
      </c>
      <c r="F214" s="256" t="s">
        <v>603</v>
      </c>
      <c r="G214" s="124" t="s">
        <v>30</v>
      </c>
      <c r="H214" s="58">
        <f>0.3048*233</f>
        <v>71.0184</v>
      </c>
      <c r="I214" s="240">
        <v>500000</v>
      </c>
      <c r="J214" s="126" t="s">
        <v>31</v>
      </c>
      <c r="K214" s="57"/>
      <c r="L214" s="56"/>
      <c r="M214" s="58"/>
      <c r="N214" s="127" t="s">
        <v>107</v>
      </c>
      <c r="O214" s="257"/>
      <c r="P214" s="128"/>
      <c r="Q214" s="128"/>
      <c r="R214" s="127">
        <v>1</v>
      </c>
      <c r="S214" s="129"/>
      <c r="T214" s="60"/>
      <c r="U214" s="60"/>
      <c r="V214" s="60"/>
      <c r="W214" s="129"/>
      <c r="X214" s="60"/>
      <c r="Y214" s="61"/>
    </row>
    <row r="215" spans="1:25" ht="30.75" thickBot="1">
      <c r="A215" s="91">
        <v>212</v>
      </c>
      <c r="B215" s="110" t="s">
        <v>612</v>
      </c>
      <c r="C215" s="69" t="s">
        <v>613</v>
      </c>
      <c r="D215" s="93" t="s">
        <v>28</v>
      </c>
      <c r="E215" s="94" t="s">
        <v>28</v>
      </c>
      <c r="F215" s="254" t="s">
        <v>603</v>
      </c>
      <c r="G215" s="107" t="s">
        <v>30</v>
      </c>
      <c r="H215" s="33">
        <f>0.3048*87</f>
        <v>26.517600000000002</v>
      </c>
      <c r="I215" s="31">
        <v>250000</v>
      </c>
      <c r="J215" s="96" t="s">
        <v>31</v>
      </c>
      <c r="K215" s="15"/>
      <c r="L215" s="54"/>
      <c r="M215" s="38"/>
      <c r="N215" s="115" t="s">
        <v>107</v>
      </c>
      <c r="O215" s="115" t="s">
        <v>107</v>
      </c>
      <c r="P215" s="115" t="s">
        <v>107</v>
      </c>
      <c r="Q215" s="115" t="s">
        <v>107</v>
      </c>
      <c r="R215" s="115" t="s">
        <v>107</v>
      </c>
      <c r="S215" s="115" t="s">
        <v>107</v>
      </c>
      <c r="T215" s="115" t="s">
        <v>107</v>
      </c>
      <c r="U215" s="115" t="s">
        <v>107</v>
      </c>
      <c r="V215" s="115" t="s">
        <v>107</v>
      </c>
      <c r="W215" s="234">
        <v>1</v>
      </c>
      <c r="X215" s="99"/>
      <c r="Y215" s="100"/>
    </row>
    <row r="216" spans="1:25" s="51" customFormat="1" ht="45">
      <c r="A216" s="39" t="s">
        <v>614</v>
      </c>
      <c r="B216" s="40" t="s">
        <v>615</v>
      </c>
      <c r="C216" s="18" t="s">
        <v>616</v>
      </c>
      <c r="D216" s="41" t="s">
        <v>28</v>
      </c>
      <c r="E216" s="42" t="s">
        <v>28</v>
      </c>
      <c r="F216" s="18" t="s">
        <v>617</v>
      </c>
      <c r="G216" s="43" t="s">
        <v>30</v>
      </c>
      <c r="H216" s="22"/>
      <c r="I216" s="45">
        <v>600000</v>
      </c>
      <c r="J216" s="21" t="s">
        <v>31</v>
      </c>
      <c r="K216" s="18"/>
      <c r="L216" s="53"/>
      <c r="M216" s="22"/>
      <c r="N216" s="47"/>
      <c r="O216" s="84"/>
      <c r="P216" s="52"/>
      <c r="Q216" s="52"/>
      <c r="R216" s="47">
        <v>1</v>
      </c>
      <c r="S216" s="48"/>
      <c r="T216" s="46"/>
      <c r="U216" s="46"/>
      <c r="V216" s="46"/>
      <c r="W216" s="48"/>
      <c r="X216" s="49"/>
      <c r="Y216" s="50"/>
    </row>
    <row r="217" spans="1:25" s="51" customFormat="1" ht="30">
      <c r="A217" s="39" t="s">
        <v>618</v>
      </c>
      <c r="B217" s="40" t="s">
        <v>619</v>
      </c>
      <c r="C217" s="18" t="s">
        <v>620</v>
      </c>
      <c r="D217" s="41" t="s">
        <v>28</v>
      </c>
      <c r="E217" s="42" t="s">
        <v>28</v>
      </c>
      <c r="F217" s="18" t="s">
        <v>617</v>
      </c>
      <c r="G217" s="43" t="s">
        <v>30</v>
      </c>
      <c r="H217" s="22"/>
      <c r="I217" s="45">
        <v>200000</v>
      </c>
      <c r="J217" s="21" t="s">
        <v>31</v>
      </c>
      <c r="K217" s="18"/>
      <c r="L217" s="53"/>
      <c r="M217" s="22"/>
      <c r="N217" s="47">
        <v>1</v>
      </c>
      <c r="O217" s="84"/>
      <c r="P217" s="52"/>
      <c r="Q217" s="52"/>
      <c r="R217" s="47"/>
      <c r="S217" s="48"/>
      <c r="T217" s="46"/>
      <c r="U217" s="46"/>
      <c r="V217" s="46"/>
      <c r="W217" s="48"/>
      <c r="X217" s="49"/>
      <c r="Y217" s="50"/>
    </row>
    <row r="218" spans="1:25" ht="30">
      <c r="A218" s="91">
        <v>215</v>
      </c>
      <c r="B218" s="110" t="s">
        <v>621</v>
      </c>
      <c r="C218" s="57" t="s">
        <v>622</v>
      </c>
      <c r="D218" s="93" t="s">
        <v>28</v>
      </c>
      <c r="E218" s="94" t="s">
        <v>28</v>
      </c>
      <c r="F218" s="258" t="s">
        <v>623</v>
      </c>
      <c r="G218" s="107" t="s">
        <v>30</v>
      </c>
      <c r="H218" s="38">
        <f>0.3048*225</f>
        <v>68.58</v>
      </c>
      <c r="I218" s="114">
        <v>500000</v>
      </c>
      <c r="J218" s="96" t="s">
        <v>31</v>
      </c>
      <c r="K218" s="68" t="s">
        <v>624</v>
      </c>
      <c r="L218" s="54"/>
      <c r="M218" s="38"/>
      <c r="N218" s="115" t="s">
        <v>107</v>
      </c>
      <c r="O218" s="115" t="s">
        <v>107</v>
      </c>
      <c r="P218" s="115" t="s">
        <v>107</v>
      </c>
      <c r="Q218" s="115" t="s">
        <v>107</v>
      </c>
      <c r="R218" s="115" t="s">
        <v>107</v>
      </c>
      <c r="S218" s="115" t="s">
        <v>107</v>
      </c>
      <c r="T218" s="115" t="s">
        <v>107</v>
      </c>
      <c r="U218" s="115" t="s">
        <v>107</v>
      </c>
      <c r="V218" s="115" t="s">
        <v>107</v>
      </c>
      <c r="W218" s="234">
        <v>1</v>
      </c>
      <c r="X218" s="99"/>
      <c r="Y218" s="100"/>
    </row>
    <row r="219" spans="1:25" ht="45">
      <c r="A219" s="91">
        <v>216</v>
      </c>
      <c r="B219" s="110" t="s">
        <v>625</v>
      </c>
      <c r="C219" s="69" t="s">
        <v>626</v>
      </c>
      <c r="D219" s="93" t="s">
        <v>28</v>
      </c>
      <c r="E219" s="94" t="s">
        <v>28</v>
      </c>
      <c r="F219" s="68" t="s">
        <v>627</v>
      </c>
      <c r="G219" s="107" t="s">
        <v>30</v>
      </c>
      <c r="H219" s="38">
        <f>0.3048*372</f>
        <v>113.38560000000001</v>
      </c>
      <c r="I219" s="55">
        <v>1000000</v>
      </c>
      <c r="J219" s="96" t="s">
        <v>31</v>
      </c>
      <c r="K219" s="68" t="s">
        <v>628</v>
      </c>
      <c r="L219" s="54">
        <v>970000</v>
      </c>
      <c r="M219" s="194">
        <f>L219/(I219-I219*3%)</f>
        <v>1</v>
      </c>
      <c r="N219" s="115" t="s">
        <v>107</v>
      </c>
      <c r="O219" s="115" t="s">
        <v>107</v>
      </c>
      <c r="P219" s="115" t="s">
        <v>107</v>
      </c>
      <c r="Q219" s="115" t="s">
        <v>107</v>
      </c>
      <c r="R219" s="115" t="s">
        <v>107</v>
      </c>
      <c r="S219" s="115" t="s">
        <v>107</v>
      </c>
      <c r="T219" s="115" t="s">
        <v>107</v>
      </c>
      <c r="U219" s="115" t="s">
        <v>107</v>
      </c>
      <c r="V219" s="115" t="s">
        <v>107</v>
      </c>
      <c r="W219" s="234">
        <v>1</v>
      </c>
      <c r="X219" s="99"/>
      <c r="Y219" s="100"/>
    </row>
    <row r="220" spans="1:25" ht="30">
      <c r="A220" s="91">
        <v>217</v>
      </c>
      <c r="B220" s="110" t="s">
        <v>629</v>
      </c>
      <c r="C220" s="69" t="s">
        <v>630</v>
      </c>
      <c r="D220" s="93" t="s">
        <v>28</v>
      </c>
      <c r="E220" s="94" t="s">
        <v>28</v>
      </c>
      <c r="F220" s="68" t="s">
        <v>627</v>
      </c>
      <c r="G220" s="107" t="s">
        <v>30</v>
      </c>
      <c r="H220" s="33">
        <f>0.3048*(200+148)</f>
        <v>106.07040000000001</v>
      </c>
      <c r="I220" s="55">
        <v>1000000</v>
      </c>
      <c r="J220" s="96" t="s">
        <v>31</v>
      </c>
      <c r="K220" s="15"/>
      <c r="L220" s="54"/>
      <c r="M220" s="38"/>
      <c r="N220" s="115" t="s">
        <v>107</v>
      </c>
      <c r="O220" s="115" t="s">
        <v>107</v>
      </c>
      <c r="P220" s="115" t="s">
        <v>107</v>
      </c>
      <c r="Q220" s="115" t="s">
        <v>107</v>
      </c>
      <c r="R220" s="115" t="s">
        <v>107</v>
      </c>
      <c r="S220" s="115" t="s">
        <v>107</v>
      </c>
      <c r="T220" s="115" t="s">
        <v>107</v>
      </c>
      <c r="U220" s="115" t="s">
        <v>107</v>
      </c>
      <c r="V220" s="115" t="s">
        <v>107</v>
      </c>
      <c r="W220" s="234">
        <v>1</v>
      </c>
      <c r="X220" s="99"/>
      <c r="Y220" s="100"/>
    </row>
    <row r="221" spans="1:25" ht="45">
      <c r="A221" s="91">
        <v>218</v>
      </c>
      <c r="B221" s="110" t="s">
        <v>631</v>
      </c>
      <c r="C221" s="69" t="s">
        <v>632</v>
      </c>
      <c r="D221" s="93" t="s">
        <v>28</v>
      </c>
      <c r="E221" s="94" t="s">
        <v>28</v>
      </c>
      <c r="F221" s="68" t="s">
        <v>627</v>
      </c>
      <c r="G221" s="107" t="s">
        <v>30</v>
      </c>
      <c r="H221" s="38">
        <f>0.3048*179</f>
        <v>54.559200000000004</v>
      </c>
      <c r="I221" s="114">
        <v>500000</v>
      </c>
      <c r="J221" s="96" t="s">
        <v>31</v>
      </c>
      <c r="K221" s="68" t="s">
        <v>628</v>
      </c>
      <c r="L221" s="54"/>
      <c r="M221" s="38"/>
      <c r="N221" s="115" t="s">
        <v>107</v>
      </c>
      <c r="O221" s="115" t="s">
        <v>107</v>
      </c>
      <c r="P221" s="115" t="s">
        <v>107</v>
      </c>
      <c r="Q221" s="115" t="s">
        <v>107</v>
      </c>
      <c r="R221" s="115" t="s">
        <v>107</v>
      </c>
      <c r="S221" s="115" t="s">
        <v>107</v>
      </c>
      <c r="T221" s="115" t="s">
        <v>107</v>
      </c>
      <c r="U221" s="115" t="s">
        <v>107</v>
      </c>
      <c r="V221" s="115" t="s">
        <v>107</v>
      </c>
      <c r="W221" s="234">
        <v>1</v>
      </c>
      <c r="X221" s="99"/>
      <c r="Y221" s="100"/>
    </row>
    <row r="222" spans="1:25" ht="45">
      <c r="A222" s="91">
        <v>219</v>
      </c>
      <c r="B222" s="110" t="s">
        <v>633</v>
      </c>
      <c r="C222" s="69" t="s">
        <v>634</v>
      </c>
      <c r="D222" s="93" t="s">
        <v>28</v>
      </c>
      <c r="E222" s="94" t="s">
        <v>28</v>
      </c>
      <c r="F222" s="68" t="s">
        <v>635</v>
      </c>
      <c r="G222" s="107" t="s">
        <v>30</v>
      </c>
      <c r="H222" s="33">
        <f>0.3048*323</f>
        <v>98.450400000000002</v>
      </c>
      <c r="I222" s="55">
        <v>1000000</v>
      </c>
      <c r="J222" s="96" t="s">
        <v>31</v>
      </c>
      <c r="K222" s="68" t="s">
        <v>628</v>
      </c>
      <c r="L222" s="54">
        <v>970000</v>
      </c>
      <c r="M222" s="194">
        <f>L222/(I222-I222*3%)</f>
        <v>1</v>
      </c>
      <c r="N222" s="115" t="s">
        <v>107</v>
      </c>
      <c r="O222" s="115" t="s">
        <v>107</v>
      </c>
      <c r="P222" s="115" t="s">
        <v>107</v>
      </c>
      <c r="Q222" s="115" t="s">
        <v>107</v>
      </c>
      <c r="R222" s="115" t="s">
        <v>107</v>
      </c>
      <c r="S222" s="115" t="s">
        <v>107</v>
      </c>
      <c r="T222" s="115" t="s">
        <v>107</v>
      </c>
      <c r="U222" s="115" t="s">
        <v>107</v>
      </c>
      <c r="V222" s="115" t="s">
        <v>107</v>
      </c>
      <c r="W222" s="234">
        <v>1</v>
      </c>
      <c r="X222" s="99"/>
      <c r="Y222" s="100"/>
    </row>
    <row r="223" spans="1:25" ht="45">
      <c r="A223" s="91">
        <v>220</v>
      </c>
      <c r="B223" s="110" t="s">
        <v>636</v>
      </c>
      <c r="C223" s="69" t="s">
        <v>637</v>
      </c>
      <c r="D223" s="93" t="s">
        <v>28</v>
      </c>
      <c r="E223" s="94" t="s">
        <v>28</v>
      </c>
      <c r="F223" s="68" t="s">
        <v>638</v>
      </c>
      <c r="G223" s="107" t="s">
        <v>30</v>
      </c>
      <c r="H223" s="33">
        <v>130.18</v>
      </c>
      <c r="I223" s="114">
        <v>500000</v>
      </c>
      <c r="J223" s="96" t="s">
        <v>31</v>
      </c>
      <c r="K223" s="68" t="s">
        <v>628</v>
      </c>
      <c r="L223" s="54"/>
      <c r="M223" s="38"/>
      <c r="N223" s="115" t="s">
        <v>107</v>
      </c>
      <c r="O223" s="115" t="s">
        <v>107</v>
      </c>
      <c r="P223" s="115" t="s">
        <v>107</v>
      </c>
      <c r="Q223" s="115" t="s">
        <v>107</v>
      </c>
      <c r="R223" s="115" t="s">
        <v>107</v>
      </c>
      <c r="S223" s="115">
        <v>1</v>
      </c>
      <c r="T223" s="99"/>
      <c r="U223" s="99"/>
      <c r="V223" s="99"/>
      <c r="W223" s="116"/>
      <c r="X223" s="99"/>
      <c r="Y223" s="100"/>
    </row>
    <row r="224" spans="1:25" ht="45">
      <c r="A224" s="91">
        <v>221</v>
      </c>
      <c r="B224" s="110" t="s">
        <v>639</v>
      </c>
      <c r="C224" s="69" t="s">
        <v>640</v>
      </c>
      <c r="D224" s="93" t="s">
        <v>28</v>
      </c>
      <c r="E224" s="94" t="s">
        <v>28</v>
      </c>
      <c r="F224" s="68" t="s">
        <v>271</v>
      </c>
      <c r="G224" s="107" t="s">
        <v>30</v>
      </c>
      <c r="H224" s="33">
        <v>92.99</v>
      </c>
      <c r="I224" s="114">
        <v>500000</v>
      </c>
      <c r="J224" s="96" t="s">
        <v>31</v>
      </c>
      <c r="K224" s="68" t="s">
        <v>641</v>
      </c>
      <c r="L224" s="54"/>
      <c r="M224" s="38"/>
      <c r="N224" s="233" t="s">
        <v>107</v>
      </c>
      <c r="O224" s="233" t="s">
        <v>107</v>
      </c>
      <c r="P224" s="233" t="s">
        <v>107</v>
      </c>
      <c r="Q224" s="233" t="s">
        <v>107</v>
      </c>
      <c r="R224" s="233" t="s">
        <v>107</v>
      </c>
      <c r="S224" s="233" t="s">
        <v>107</v>
      </c>
      <c r="T224" s="233" t="s">
        <v>107</v>
      </c>
      <c r="U224" s="233">
        <f>-U225</f>
        <v>0</v>
      </c>
      <c r="V224" s="233">
        <f>-V225</f>
        <v>0</v>
      </c>
      <c r="W224" s="234">
        <v>1</v>
      </c>
      <c r="X224" s="99"/>
      <c r="Y224" s="100"/>
    </row>
    <row r="225" spans="1:25" ht="45">
      <c r="A225" s="91">
        <v>222</v>
      </c>
      <c r="B225" s="110" t="s">
        <v>642</v>
      </c>
      <c r="C225" s="69" t="s">
        <v>643</v>
      </c>
      <c r="D225" s="93" t="s">
        <v>28</v>
      </c>
      <c r="E225" s="94" t="s">
        <v>28</v>
      </c>
      <c r="F225" s="68" t="s">
        <v>271</v>
      </c>
      <c r="G225" s="107" t="s">
        <v>30</v>
      </c>
      <c r="H225" s="33">
        <f>0.3048*201</f>
        <v>61.264800000000001</v>
      </c>
      <c r="I225" s="55">
        <v>650000</v>
      </c>
      <c r="J225" s="96" t="s">
        <v>31</v>
      </c>
      <c r="K225" s="68" t="s">
        <v>641</v>
      </c>
      <c r="L225" s="54">
        <v>630500</v>
      </c>
      <c r="M225" s="194">
        <f>L225/(I225-I225*3%)</f>
        <v>1</v>
      </c>
      <c r="N225" s="233" t="s">
        <v>107</v>
      </c>
      <c r="O225" s="233" t="s">
        <v>107</v>
      </c>
      <c r="P225" s="233" t="s">
        <v>107</v>
      </c>
      <c r="Q225" s="233" t="s">
        <v>107</v>
      </c>
      <c r="R225" s="233" t="s">
        <v>107</v>
      </c>
      <c r="S225" s="233" t="s">
        <v>107</v>
      </c>
      <c r="T225" s="233" t="s">
        <v>107</v>
      </c>
      <c r="U225" s="233">
        <f>-U226</f>
        <v>0</v>
      </c>
      <c r="V225" s="233">
        <f>-V226</f>
        <v>0</v>
      </c>
      <c r="W225" s="234">
        <v>1</v>
      </c>
      <c r="X225" s="99"/>
      <c r="Y225" s="100"/>
    </row>
    <row r="226" spans="1:25" s="51" customFormat="1" ht="30">
      <c r="A226" s="39" t="s">
        <v>644</v>
      </c>
      <c r="B226" s="40" t="s">
        <v>645</v>
      </c>
      <c r="C226" s="82" t="s">
        <v>646</v>
      </c>
      <c r="D226" s="41" t="s">
        <v>28</v>
      </c>
      <c r="E226" s="42" t="s">
        <v>28</v>
      </c>
      <c r="F226" s="18" t="s">
        <v>248</v>
      </c>
      <c r="G226" s="43" t="s">
        <v>30</v>
      </c>
      <c r="H226" s="22"/>
      <c r="I226" s="65">
        <v>125000</v>
      </c>
      <c r="J226" s="21" t="s">
        <v>31</v>
      </c>
      <c r="K226" s="18"/>
      <c r="L226" s="53"/>
      <c r="M226" s="22"/>
      <c r="N226" s="233">
        <v>1</v>
      </c>
      <c r="O226" s="47"/>
      <c r="P226" s="52"/>
      <c r="Q226" s="52"/>
      <c r="R226" s="47"/>
      <c r="S226" s="48"/>
      <c r="T226" s="49"/>
      <c r="U226" s="49"/>
      <c r="V226" s="49"/>
      <c r="W226" s="48"/>
      <c r="X226" s="49"/>
      <c r="Y226" s="50"/>
    </row>
    <row r="227" spans="1:25" s="51" customFormat="1" ht="30">
      <c r="A227" s="39" t="s">
        <v>647</v>
      </c>
      <c r="B227" s="40" t="s">
        <v>648</v>
      </c>
      <c r="C227" s="82" t="s">
        <v>649</v>
      </c>
      <c r="D227" s="41" t="s">
        <v>28</v>
      </c>
      <c r="E227" s="42" t="s">
        <v>28</v>
      </c>
      <c r="F227" s="18" t="s">
        <v>248</v>
      </c>
      <c r="G227" s="43" t="s">
        <v>30</v>
      </c>
      <c r="H227" s="22"/>
      <c r="I227" s="65">
        <v>75000</v>
      </c>
      <c r="J227" s="21" t="s">
        <v>31</v>
      </c>
      <c r="K227" s="18"/>
      <c r="L227" s="53"/>
      <c r="M227" s="22"/>
      <c r="N227" s="233" t="s">
        <v>107</v>
      </c>
      <c r="O227" s="233" t="s">
        <v>107</v>
      </c>
      <c r="P227" s="233" t="s">
        <v>107</v>
      </c>
      <c r="Q227" s="233" t="s">
        <v>107</v>
      </c>
      <c r="R227" s="47">
        <v>1</v>
      </c>
      <c r="S227" s="48"/>
      <c r="T227" s="46"/>
      <c r="U227" s="46"/>
      <c r="V227" s="46"/>
      <c r="W227" s="48"/>
      <c r="X227" s="49"/>
      <c r="Y227" s="50"/>
    </row>
    <row r="228" spans="1:25" ht="30">
      <c r="A228" s="91">
        <v>225</v>
      </c>
      <c r="B228" s="110" t="s">
        <v>650</v>
      </c>
      <c r="C228" s="69" t="s">
        <v>651</v>
      </c>
      <c r="D228" s="93" t="s">
        <v>28</v>
      </c>
      <c r="E228" s="94" t="s">
        <v>28</v>
      </c>
      <c r="F228" s="68" t="s">
        <v>652</v>
      </c>
      <c r="G228" s="107" t="s">
        <v>30</v>
      </c>
      <c r="H228" s="33">
        <f>0.3048*150</f>
        <v>45.72</v>
      </c>
      <c r="I228" s="114">
        <v>500000</v>
      </c>
      <c r="J228" s="96" t="s">
        <v>31</v>
      </c>
      <c r="K228" s="34"/>
      <c r="L228" s="54">
        <v>485000</v>
      </c>
      <c r="M228" s="194">
        <f>L228/(I228-I228*3%)</f>
        <v>1</v>
      </c>
      <c r="N228" s="233" t="s">
        <v>107</v>
      </c>
      <c r="O228" s="233" t="s">
        <v>107</v>
      </c>
      <c r="P228" s="233" t="s">
        <v>107</v>
      </c>
      <c r="Q228" s="233" t="s">
        <v>107</v>
      </c>
      <c r="R228" s="233" t="s">
        <v>107</v>
      </c>
      <c r="S228" s="233" t="s">
        <v>107</v>
      </c>
      <c r="T228" s="233" t="s">
        <v>107</v>
      </c>
      <c r="U228" s="233">
        <f>-U229</f>
        <v>0</v>
      </c>
      <c r="V228" s="233">
        <f>-V229</f>
        <v>0</v>
      </c>
      <c r="W228" s="234">
        <v>1</v>
      </c>
      <c r="X228" s="99"/>
      <c r="Y228" s="100"/>
    </row>
    <row r="229" spans="1:25" ht="30">
      <c r="A229" s="91">
        <v>226</v>
      </c>
      <c r="B229" s="110" t="s">
        <v>653</v>
      </c>
      <c r="C229" s="69" t="s">
        <v>654</v>
      </c>
      <c r="D229" s="93" t="s">
        <v>28</v>
      </c>
      <c r="E229" s="94" t="s">
        <v>28</v>
      </c>
      <c r="F229" s="68" t="s">
        <v>652</v>
      </c>
      <c r="G229" s="107" t="s">
        <v>30</v>
      </c>
      <c r="H229" s="38"/>
      <c r="I229" s="114">
        <v>450000</v>
      </c>
      <c r="J229" s="96" t="s">
        <v>31</v>
      </c>
      <c r="K229" s="15"/>
      <c r="L229" s="54"/>
      <c r="M229" s="38"/>
      <c r="N229" s="233" t="s">
        <v>107</v>
      </c>
      <c r="O229" s="233" t="s">
        <v>107</v>
      </c>
      <c r="P229" s="233" t="s">
        <v>107</v>
      </c>
      <c r="Q229" s="233" t="s">
        <v>107</v>
      </c>
      <c r="R229" s="233" t="s">
        <v>107</v>
      </c>
      <c r="S229" s="233" t="s">
        <v>107</v>
      </c>
      <c r="T229" s="233" t="s">
        <v>107</v>
      </c>
      <c r="U229" s="233">
        <f t="shared" ref="U229:V242" si="34">-U230</f>
        <v>0</v>
      </c>
      <c r="V229" s="233">
        <f t="shared" si="34"/>
        <v>0</v>
      </c>
      <c r="W229" s="234">
        <v>1</v>
      </c>
      <c r="X229" s="99"/>
      <c r="Y229" s="100"/>
    </row>
    <row r="230" spans="1:25" ht="60">
      <c r="A230" s="91">
        <v>227</v>
      </c>
      <c r="B230" s="110" t="s">
        <v>655</v>
      </c>
      <c r="C230" s="15" t="s">
        <v>656</v>
      </c>
      <c r="D230" s="93" t="s">
        <v>28</v>
      </c>
      <c r="E230" s="94" t="s">
        <v>28</v>
      </c>
      <c r="F230" s="68" t="s">
        <v>652</v>
      </c>
      <c r="G230" s="107" t="s">
        <v>30</v>
      </c>
      <c r="H230" s="38">
        <f>0.3048*167</f>
        <v>50.901600000000002</v>
      </c>
      <c r="I230" s="114">
        <v>500000</v>
      </c>
      <c r="J230" s="96" t="s">
        <v>31</v>
      </c>
      <c r="K230" s="68" t="s">
        <v>272</v>
      </c>
      <c r="L230" s="54"/>
      <c r="M230" s="38"/>
      <c r="N230" s="233" t="s">
        <v>107</v>
      </c>
      <c r="O230" s="233" t="s">
        <v>107</v>
      </c>
      <c r="P230" s="233" t="s">
        <v>107</v>
      </c>
      <c r="Q230" s="233" t="s">
        <v>107</v>
      </c>
      <c r="R230" s="233" t="s">
        <v>107</v>
      </c>
      <c r="S230" s="233" t="s">
        <v>107</v>
      </c>
      <c r="T230" s="233" t="s">
        <v>107</v>
      </c>
      <c r="U230" s="233">
        <f t="shared" si="34"/>
        <v>0</v>
      </c>
      <c r="V230" s="233">
        <f t="shared" si="34"/>
        <v>0</v>
      </c>
      <c r="W230" s="234">
        <v>1</v>
      </c>
      <c r="X230" s="99"/>
      <c r="Y230" s="100"/>
    </row>
    <row r="231" spans="1:25" ht="45">
      <c r="A231" s="91">
        <v>228</v>
      </c>
      <c r="B231" s="110" t="s">
        <v>657</v>
      </c>
      <c r="C231" s="15" t="s">
        <v>658</v>
      </c>
      <c r="D231" s="93" t="s">
        <v>28</v>
      </c>
      <c r="E231" s="94" t="s">
        <v>28</v>
      </c>
      <c r="F231" s="68" t="s">
        <v>652</v>
      </c>
      <c r="G231" s="107" t="s">
        <v>30</v>
      </c>
      <c r="H231" s="38">
        <f>0.3048*165</f>
        <v>50.292000000000002</v>
      </c>
      <c r="I231" s="114">
        <v>500000</v>
      </c>
      <c r="J231" s="96" t="s">
        <v>31</v>
      </c>
      <c r="K231" s="68" t="s">
        <v>508</v>
      </c>
      <c r="L231" s="54">
        <v>485000</v>
      </c>
      <c r="M231" s="194">
        <f t="shared" ref="M231:M232" si="35">L231/(I231-I231*3%)</f>
        <v>1</v>
      </c>
      <c r="N231" s="233" t="s">
        <v>107</v>
      </c>
      <c r="O231" s="233" t="s">
        <v>107</v>
      </c>
      <c r="P231" s="233" t="s">
        <v>107</v>
      </c>
      <c r="Q231" s="233" t="s">
        <v>107</v>
      </c>
      <c r="R231" s="233" t="s">
        <v>107</v>
      </c>
      <c r="S231" s="233" t="s">
        <v>107</v>
      </c>
      <c r="T231" s="233" t="s">
        <v>107</v>
      </c>
      <c r="U231" s="233">
        <f t="shared" si="34"/>
        <v>0</v>
      </c>
      <c r="V231" s="233">
        <f t="shared" si="34"/>
        <v>0</v>
      </c>
      <c r="W231" s="234">
        <v>1</v>
      </c>
      <c r="X231" s="99"/>
      <c r="Y231" s="100"/>
    </row>
    <row r="232" spans="1:25" ht="45">
      <c r="A232" s="91">
        <v>229</v>
      </c>
      <c r="B232" s="110" t="s">
        <v>659</v>
      </c>
      <c r="C232" s="69" t="s">
        <v>660</v>
      </c>
      <c r="D232" s="93" t="s">
        <v>28</v>
      </c>
      <c r="E232" s="94" t="s">
        <v>28</v>
      </c>
      <c r="F232" s="68" t="s">
        <v>652</v>
      </c>
      <c r="G232" s="107" t="s">
        <v>30</v>
      </c>
      <c r="H232" s="33">
        <v>158.54</v>
      </c>
      <c r="I232" s="114">
        <v>600000</v>
      </c>
      <c r="J232" s="96" t="s">
        <v>31</v>
      </c>
      <c r="K232" s="68" t="s">
        <v>508</v>
      </c>
      <c r="L232" s="54">
        <v>582000</v>
      </c>
      <c r="M232" s="194">
        <f t="shared" si="35"/>
        <v>1</v>
      </c>
      <c r="N232" s="233" t="s">
        <v>107</v>
      </c>
      <c r="O232" s="233" t="s">
        <v>107</v>
      </c>
      <c r="P232" s="233" t="s">
        <v>107</v>
      </c>
      <c r="Q232" s="233" t="s">
        <v>107</v>
      </c>
      <c r="R232" s="233" t="s">
        <v>107</v>
      </c>
      <c r="S232" s="233" t="s">
        <v>107</v>
      </c>
      <c r="T232" s="233" t="s">
        <v>107</v>
      </c>
      <c r="U232" s="233">
        <f t="shared" si="34"/>
        <v>0</v>
      </c>
      <c r="V232" s="233">
        <f t="shared" si="34"/>
        <v>0</v>
      </c>
      <c r="W232" s="234">
        <v>1</v>
      </c>
      <c r="X232" s="99"/>
      <c r="Y232" s="100"/>
    </row>
    <row r="233" spans="1:25" ht="45">
      <c r="A233" s="91">
        <v>230</v>
      </c>
      <c r="B233" s="110" t="s">
        <v>661</v>
      </c>
      <c r="C233" s="15" t="s">
        <v>662</v>
      </c>
      <c r="D233" s="93" t="s">
        <v>28</v>
      </c>
      <c r="E233" s="94" t="s">
        <v>28</v>
      </c>
      <c r="F233" s="68" t="s">
        <v>652</v>
      </c>
      <c r="G233" s="107" t="s">
        <v>30</v>
      </c>
      <c r="H233" s="38">
        <f>0.3048*67</f>
        <v>20.421600000000002</v>
      </c>
      <c r="I233" s="114">
        <v>150000</v>
      </c>
      <c r="J233" s="96" t="s">
        <v>31</v>
      </c>
      <c r="K233" s="68" t="s">
        <v>663</v>
      </c>
      <c r="L233" s="54"/>
      <c r="M233" s="38"/>
      <c r="N233" s="115" t="s">
        <v>107</v>
      </c>
      <c r="O233" s="115" t="s">
        <v>107</v>
      </c>
      <c r="P233" s="233" t="s">
        <v>107</v>
      </c>
      <c r="Q233" s="233" t="s">
        <v>107</v>
      </c>
      <c r="R233" s="233" t="s">
        <v>107</v>
      </c>
      <c r="S233" s="233" t="s">
        <v>107</v>
      </c>
      <c r="T233" s="233" t="s">
        <v>107</v>
      </c>
      <c r="U233" s="233">
        <f t="shared" si="34"/>
        <v>0</v>
      </c>
      <c r="V233" s="233">
        <f t="shared" si="34"/>
        <v>0</v>
      </c>
      <c r="W233" s="234">
        <v>1</v>
      </c>
      <c r="X233" s="99"/>
      <c r="Y233" s="100"/>
    </row>
    <row r="234" spans="1:25" ht="45">
      <c r="A234" s="91">
        <v>231</v>
      </c>
      <c r="B234" s="110" t="s">
        <v>664</v>
      </c>
      <c r="C234" s="15" t="s">
        <v>665</v>
      </c>
      <c r="D234" s="93" t="s">
        <v>28</v>
      </c>
      <c r="E234" s="94" t="s">
        <v>28</v>
      </c>
      <c r="F234" s="68" t="s">
        <v>652</v>
      </c>
      <c r="G234" s="107" t="s">
        <v>30</v>
      </c>
      <c r="H234" s="38">
        <f>0.3048*20</f>
        <v>6.0960000000000001</v>
      </c>
      <c r="I234" s="114">
        <v>100000</v>
      </c>
      <c r="J234" s="96" t="s">
        <v>31</v>
      </c>
      <c r="K234" s="68" t="s">
        <v>508</v>
      </c>
      <c r="L234" s="54"/>
      <c r="M234" s="38"/>
      <c r="N234" s="115" t="s">
        <v>107</v>
      </c>
      <c r="O234" s="115" t="s">
        <v>107</v>
      </c>
      <c r="P234" s="233" t="s">
        <v>107</v>
      </c>
      <c r="Q234" s="233" t="s">
        <v>107</v>
      </c>
      <c r="R234" s="233" t="s">
        <v>107</v>
      </c>
      <c r="S234" s="233" t="s">
        <v>107</v>
      </c>
      <c r="T234" s="233" t="s">
        <v>107</v>
      </c>
      <c r="U234" s="233">
        <f t="shared" si="34"/>
        <v>0</v>
      </c>
      <c r="V234" s="233">
        <f t="shared" si="34"/>
        <v>0</v>
      </c>
      <c r="W234" s="234">
        <v>1</v>
      </c>
      <c r="X234" s="99"/>
      <c r="Y234" s="100"/>
    </row>
    <row r="235" spans="1:25" ht="45">
      <c r="A235" s="91">
        <v>232</v>
      </c>
      <c r="B235" s="92" t="s">
        <v>666</v>
      </c>
      <c r="C235" s="69" t="s">
        <v>667</v>
      </c>
      <c r="D235" s="93" t="s">
        <v>28</v>
      </c>
      <c r="E235" s="94" t="s">
        <v>28</v>
      </c>
      <c r="F235" s="68" t="s">
        <v>668</v>
      </c>
      <c r="G235" s="107" t="s">
        <v>30</v>
      </c>
      <c r="H235" s="33">
        <f>0.3048*160</f>
        <v>48.768000000000001</v>
      </c>
      <c r="I235" s="259">
        <v>500000</v>
      </c>
      <c r="J235" s="96" t="s">
        <v>31</v>
      </c>
      <c r="K235" s="68" t="s">
        <v>669</v>
      </c>
      <c r="L235" s="54">
        <v>485000</v>
      </c>
      <c r="M235" s="194">
        <f t="shared" ref="M235:M238" si="36">L235/(I235-I235*3%)</f>
        <v>1</v>
      </c>
      <c r="N235" s="233" t="s">
        <v>107</v>
      </c>
      <c r="O235" s="233" t="s">
        <v>107</v>
      </c>
      <c r="P235" s="233" t="s">
        <v>107</v>
      </c>
      <c r="Q235" s="233" t="s">
        <v>107</v>
      </c>
      <c r="R235" s="233" t="s">
        <v>107</v>
      </c>
      <c r="S235" s="233" t="s">
        <v>107</v>
      </c>
      <c r="T235" s="233" t="s">
        <v>107</v>
      </c>
      <c r="U235" s="233">
        <f t="shared" si="34"/>
        <v>0</v>
      </c>
      <c r="V235" s="233">
        <f t="shared" si="34"/>
        <v>0</v>
      </c>
      <c r="W235" s="234">
        <v>1</v>
      </c>
      <c r="X235" s="99"/>
      <c r="Y235" s="100"/>
    </row>
    <row r="236" spans="1:25" ht="45">
      <c r="A236" s="91">
        <v>233</v>
      </c>
      <c r="B236" s="92" t="s">
        <v>670</v>
      </c>
      <c r="C236" s="69" t="s">
        <v>671</v>
      </c>
      <c r="D236" s="93" t="s">
        <v>28</v>
      </c>
      <c r="E236" s="94" t="s">
        <v>28</v>
      </c>
      <c r="F236" s="68" t="s">
        <v>668</v>
      </c>
      <c r="G236" s="107" t="s">
        <v>30</v>
      </c>
      <c r="H236" s="33">
        <f>0.3048*182</f>
        <v>55.473600000000005</v>
      </c>
      <c r="I236" s="259">
        <v>500000</v>
      </c>
      <c r="J236" s="96" t="s">
        <v>31</v>
      </c>
      <c r="K236" s="15" t="s">
        <v>669</v>
      </c>
      <c r="L236" s="54">
        <v>485000</v>
      </c>
      <c r="M236" s="194">
        <f t="shared" si="36"/>
        <v>1</v>
      </c>
      <c r="N236" s="233" t="s">
        <v>107</v>
      </c>
      <c r="O236" s="233" t="s">
        <v>107</v>
      </c>
      <c r="P236" s="233" t="s">
        <v>107</v>
      </c>
      <c r="Q236" s="233" t="s">
        <v>107</v>
      </c>
      <c r="R236" s="233" t="s">
        <v>107</v>
      </c>
      <c r="S236" s="233" t="s">
        <v>107</v>
      </c>
      <c r="T236" s="233" t="s">
        <v>107</v>
      </c>
      <c r="U236" s="233">
        <f t="shared" si="34"/>
        <v>0</v>
      </c>
      <c r="V236" s="233">
        <f t="shared" si="34"/>
        <v>0</v>
      </c>
      <c r="W236" s="234">
        <v>1</v>
      </c>
      <c r="X236" s="99"/>
      <c r="Y236" s="100"/>
    </row>
    <row r="237" spans="1:25" ht="45">
      <c r="A237" s="91">
        <v>234</v>
      </c>
      <c r="B237" s="92" t="s">
        <v>672</v>
      </c>
      <c r="C237" s="258" t="s">
        <v>673</v>
      </c>
      <c r="D237" s="93" t="s">
        <v>28</v>
      </c>
      <c r="E237" s="94" t="s">
        <v>28</v>
      </c>
      <c r="F237" s="68" t="s">
        <v>668</v>
      </c>
      <c r="G237" s="107" t="s">
        <v>30</v>
      </c>
      <c r="H237" s="33">
        <f>0.3048*170</f>
        <v>51.816000000000003</v>
      </c>
      <c r="I237" s="259">
        <v>475000</v>
      </c>
      <c r="J237" s="96" t="s">
        <v>31</v>
      </c>
      <c r="K237" s="15" t="s">
        <v>669</v>
      </c>
      <c r="L237" s="54">
        <v>460750</v>
      </c>
      <c r="M237" s="194">
        <f t="shared" si="36"/>
        <v>1</v>
      </c>
      <c r="N237" s="233" t="s">
        <v>107</v>
      </c>
      <c r="O237" s="233" t="s">
        <v>107</v>
      </c>
      <c r="P237" s="233" t="s">
        <v>107</v>
      </c>
      <c r="Q237" s="233" t="s">
        <v>107</v>
      </c>
      <c r="R237" s="233" t="s">
        <v>107</v>
      </c>
      <c r="S237" s="233" t="s">
        <v>107</v>
      </c>
      <c r="T237" s="233" t="s">
        <v>107</v>
      </c>
      <c r="U237" s="233">
        <f t="shared" si="34"/>
        <v>0</v>
      </c>
      <c r="V237" s="233">
        <f t="shared" si="34"/>
        <v>0</v>
      </c>
      <c r="W237" s="234">
        <v>1</v>
      </c>
      <c r="X237" s="99"/>
      <c r="Y237" s="100"/>
    </row>
    <row r="238" spans="1:25" ht="30">
      <c r="A238" s="91">
        <v>235</v>
      </c>
      <c r="B238" s="92" t="s">
        <v>674</v>
      </c>
      <c r="C238" s="69" t="s">
        <v>675</v>
      </c>
      <c r="D238" s="93" t="s">
        <v>28</v>
      </c>
      <c r="E238" s="94" t="s">
        <v>28</v>
      </c>
      <c r="F238" s="68" t="s">
        <v>676</v>
      </c>
      <c r="G238" s="107" t="s">
        <v>30</v>
      </c>
      <c r="H238" s="33">
        <f>0.3048*210</f>
        <v>64.00800000000001</v>
      </c>
      <c r="I238" s="259">
        <v>475000</v>
      </c>
      <c r="J238" s="96" t="s">
        <v>31</v>
      </c>
      <c r="K238" s="68" t="s">
        <v>677</v>
      </c>
      <c r="L238" s="54">
        <f>460750</f>
        <v>460750</v>
      </c>
      <c r="M238" s="194">
        <f t="shared" si="36"/>
        <v>1</v>
      </c>
      <c r="N238" s="233" t="s">
        <v>107</v>
      </c>
      <c r="O238" s="233" t="s">
        <v>107</v>
      </c>
      <c r="P238" s="233" t="s">
        <v>107</v>
      </c>
      <c r="Q238" s="233" t="s">
        <v>107</v>
      </c>
      <c r="R238" s="233" t="s">
        <v>107</v>
      </c>
      <c r="S238" s="233" t="s">
        <v>107</v>
      </c>
      <c r="T238" s="233" t="s">
        <v>107</v>
      </c>
      <c r="U238" s="233">
        <f t="shared" si="34"/>
        <v>0</v>
      </c>
      <c r="V238" s="233">
        <f t="shared" si="34"/>
        <v>0</v>
      </c>
      <c r="W238" s="234">
        <v>1</v>
      </c>
      <c r="X238" s="99"/>
      <c r="Y238" s="100"/>
    </row>
    <row r="239" spans="1:25" ht="30">
      <c r="A239" s="91">
        <v>236</v>
      </c>
      <c r="B239" s="92" t="s">
        <v>678</v>
      </c>
      <c r="C239" s="69" t="s">
        <v>679</v>
      </c>
      <c r="D239" s="93" t="s">
        <v>28</v>
      </c>
      <c r="E239" s="94" t="s">
        <v>28</v>
      </c>
      <c r="F239" s="68" t="s">
        <v>676</v>
      </c>
      <c r="G239" s="107" t="s">
        <v>30</v>
      </c>
      <c r="H239" s="33">
        <f>0.3048*86</f>
        <v>26.212800000000001</v>
      </c>
      <c r="I239" s="259">
        <v>250000</v>
      </c>
      <c r="J239" s="96" t="s">
        <v>31</v>
      </c>
      <c r="K239" s="68" t="s">
        <v>677</v>
      </c>
      <c r="L239" s="54"/>
      <c r="M239" s="38"/>
      <c r="N239" s="115" t="s">
        <v>107</v>
      </c>
      <c r="O239" s="115" t="s">
        <v>107</v>
      </c>
      <c r="P239" s="233" t="s">
        <v>107</v>
      </c>
      <c r="Q239" s="233" t="s">
        <v>107</v>
      </c>
      <c r="R239" s="233" t="s">
        <v>107</v>
      </c>
      <c r="S239" s="233" t="s">
        <v>107</v>
      </c>
      <c r="T239" s="233" t="s">
        <v>107</v>
      </c>
      <c r="U239" s="233">
        <f t="shared" si="34"/>
        <v>0</v>
      </c>
      <c r="V239" s="233">
        <f t="shared" si="34"/>
        <v>0</v>
      </c>
      <c r="W239" s="234">
        <v>1</v>
      </c>
      <c r="X239" s="99"/>
      <c r="Y239" s="100"/>
    </row>
    <row r="240" spans="1:25" ht="45">
      <c r="A240" s="91">
        <v>237</v>
      </c>
      <c r="B240" s="92" t="s">
        <v>680</v>
      </c>
      <c r="C240" s="69" t="s">
        <v>681</v>
      </c>
      <c r="D240" s="93" t="s">
        <v>28</v>
      </c>
      <c r="E240" s="94" t="s">
        <v>28</v>
      </c>
      <c r="F240" s="68" t="s">
        <v>676</v>
      </c>
      <c r="G240" s="107" t="s">
        <v>30</v>
      </c>
      <c r="H240" s="38"/>
      <c r="I240" s="131">
        <v>300000</v>
      </c>
      <c r="J240" s="96" t="s">
        <v>31</v>
      </c>
      <c r="K240" s="15" t="s">
        <v>40</v>
      </c>
      <c r="L240" s="54">
        <v>291000</v>
      </c>
      <c r="M240" s="194">
        <f>L240/(I240-I240*3%)</f>
        <v>1</v>
      </c>
      <c r="N240" s="233" t="s">
        <v>107</v>
      </c>
      <c r="O240" s="233" t="s">
        <v>107</v>
      </c>
      <c r="P240" s="233" t="s">
        <v>107</v>
      </c>
      <c r="Q240" s="233" t="s">
        <v>107</v>
      </c>
      <c r="R240" s="233" t="s">
        <v>107</v>
      </c>
      <c r="S240" s="233" t="s">
        <v>107</v>
      </c>
      <c r="T240" s="233" t="s">
        <v>107</v>
      </c>
      <c r="U240" s="233">
        <f t="shared" si="34"/>
        <v>0</v>
      </c>
      <c r="V240" s="233">
        <f t="shared" si="34"/>
        <v>0</v>
      </c>
      <c r="W240" s="234">
        <v>1</v>
      </c>
      <c r="X240" s="99"/>
      <c r="Y240" s="100"/>
    </row>
    <row r="241" spans="1:25" ht="30">
      <c r="A241" s="91">
        <v>238</v>
      </c>
      <c r="B241" s="92" t="s">
        <v>682</v>
      </c>
      <c r="C241" s="69" t="s">
        <v>683</v>
      </c>
      <c r="D241" s="93" t="s">
        <v>28</v>
      </c>
      <c r="E241" s="94" t="s">
        <v>28</v>
      </c>
      <c r="F241" s="68" t="s">
        <v>676</v>
      </c>
      <c r="G241" s="107" t="s">
        <v>30</v>
      </c>
      <c r="H241" s="33">
        <f>0.3048*90</f>
        <v>27.432000000000002</v>
      </c>
      <c r="I241" s="259">
        <v>250000</v>
      </c>
      <c r="J241" s="96" t="s">
        <v>31</v>
      </c>
      <c r="K241" s="15"/>
      <c r="L241" s="54">
        <v>242500</v>
      </c>
      <c r="M241" s="38"/>
      <c r="N241" s="115" t="s">
        <v>107</v>
      </c>
      <c r="O241" s="115" t="s">
        <v>107</v>
      </c>
      <c r="P241" s="233" t="s">
        <v>107</v>
      </c>
      <c r="Q241" s="233" t="s">
        <v>107</v>
      </c>
      <c r="R241" s="233" t="s">
        <v>107</v>
      </c>
      <c r="S241" s="233" t="s">
        <v>107</v>
      </c>
      <c r="T241" s="233" t="s">
        <v>107</v>
      </c>
      <c r="U241" s="233">
        <f t="shared" si="34"/>
        <v>0</v>
      </c>
      <c r="V241" s="233">
        <f t="shared" si="34"/>
        <v>0</v>
      </c>
      <c r="W241" s="234">
        <v>1</v>
      </c>
      <c r="X241" s="99"/>
      <c r="Y241" s="100"/>
    </row>
    <row r="242" spans="1:25" ht="30">
      <c r="A242" s="91">
        <v>239</v>
      </c>
      <c r="B242" s="92" t="s">
        <v>684</v>
      </c>
      <c r="C242" s="69" t="s">
        <v>685</v>
      </c>
      <c r="D242" s="93" t="s">
        <v>28</v>
      </c>
      <c r="E242" s="94" t="s">
        <v>28</v>
      </c>
      <c r="F242" s="68" t="s">
        <v>676</v>
      </c>
      <c r="G242" s="107" t="s">
        <v>30</v>
      </c>
      <c r="H242" s="33">
        <f>0.3048*250</f>
        <v>76.2</v>
      </c>
      <c r="I242" s="259">
        <v>700000</v>
      </c>
      <c r="J242" s="96" t="s">
        <v>31</v>
      </c>
      <c r="K242" s="68" t="s">
        <v>677</v>
      </c>
      <c r="L242" s="54">
        <v>645374.9</v>
      </c>
      <c r="M242" s="194">
        <f>L242/(I242-I242*3%)</f>
        <v>0.9504784977908689</v>
      </c>
      <c r="N242" s="233" t="s">
        <v>107</v>
      </c>
      <c r="O242" s="233" t="s">
        <v>107</v>
      </c>
      <c r="P242" s="233" t="s">
        <v>107</v>
      </c>
      <c r="Q242" s="233" t="s">
        <v>107</v>
      </c>
      <c r="R242" s="233" t="s">
        <v>107</v>
      </c>
      <c r="S242" s="233" t="s">
        <v>107</v>
      </c>
      <c r="T242" s="233" t="s">
        <v>107</v>
      </c>
      <c r="U242" s="233">
        <f t="shared" si="34"/>
        <v>0</v>
      </c>
      <c r="V242" s="233">
        <f t="shared" si="34"/>
        <v>0</v>
      </c>
      <c r="W242" s="234">
        <v>1</v>
      </c>
      <c r="X242" s="99"/>
      <c r="Y242" s="100"/>
    </row>
    <row r="243" spans="1:25" ht="30">
      <c r="A243" s="91">
        <v>240</v>
      </c>
      <c r="B243" s="92" t="s">
        <v>686</v>
      </c>
      <c r="C243" s="69" t="s">
        <v>687</v>
      </c>
      <c r="D243" s="93" t="s">
        <v>28</v>
      </c>
      <c r="E243" s="94" t="s">
        <v>28</v>
      </c>
      <c r="F243" s="68" t="s">
        <v>688</v>
      </c>
      <c r="G243" s="117" t="s">
        <v>30</v>
      </c>
      <c r="H243" s="38"/>
      <c r="I243" s="131">
        <v>750000</v>
      </c>
      <c r="J243" s="96" t="s">
        <v>31</v>
      </c>
      <c r="K243" s="15"/>
      <c r="L243" s="54"/>
      <c r="M243" s="38"/>
      <c r="N243" s="260">
        <v>1</v>
      </c>
      <c r="O243" s="132"/>
      <c r="P243" s="102"/>
      <c r="Q243" s="102"/>
      <c r="R243" s="132"/>
      <c r="S243" s="133"/>
      <c r="T243" s="97"/>
      <c r="U243" s="97"/>
      <c r="V243" s="97"/>
      <c r="W243" s="133"/>
      <c r="X243" s="99"/>
      <c r="Y243" s="100" t="s">
        <v>315</v>
      </c>
    </row>
    <row r="244" spans="1:25" ht="30">
      <c r="A244" s="91">
        <v>241</v>
      </c>
      <c r="B244" s="92" t="s">
        <v>689</v>
      </c>
      <c r="C244" s="69" t="s">
        <v>690</v>
      </c>
      <c r="D244" s="93" t="s">
        <v>28</v>
      </c>
      <c r="E244" s="94" t="s">
        <v>28</v>
      </c>
      <c r="F244" s="68" t="s">
        <v>691</v>
      </c>
      <c r="G244" s="107" t="s">
        <v>30</v>
      </c>
      <c r="H244" s="33">
        <f>0.3048*243</f>
        <v>74.066400000000002</v>
      </c>
      <c r="I244" s="131">
        <v>600000</v>
      </c>
      <c r="J244" s="96" t="s">
        <v>31</v>
      </c>
      <c r="K244" s="15" t="s">
        <v>467</v>
      </c>
      <c r="L244" s="54">
        <v>582000</v>
      </c>
      <c r="M244" s="194">
        <f>L244/(I244-I244*3%)</f>
        <v>1</v>
      </c>
      <c r="N244" s="233" t="s">
        <v>107</v>
      </c>
      <c r="O244" s="233" t="s">
        <v>107</v>
      </c>
      <c r="P244" s="233" t="s">
        <v>107</v>
      </c>
      <c r="Q244" s="233" t="s">
        <v>107</v>
      </c>
      <c r="R244" s="233" t="s">
        <v>107</v>
      </c>
      <c r="S244" s="233" t="s">
        <v>107</v>
      </c>
      <c r="T244" s="233" t="s">
        <v>107</v>
      </c>
      <c r="U244" s="233">
        <f>-U245</f>
        <v>0</v>
      </c>
      <c r="V244" s="233">
        <f>-V245</f>
        <v>0</v>
      </c>
      <c r="W244" s="234">
        <v>1</v>
      </c>
      <c r="X244" s="99"/>
      <c r="Y244" s="100"/>
    </row>
    <row r="245" spans="1:25" ht="30">
      <c r="A245" s="91">
        <v>242</v>
      </c>
      <c r="B245" s="92" t="s">
        <v>692</v>
      </c>
      <c r="C245" s="69" t="s">
        <v>693</v>
      </c>
      <c r="D245" s="93" t="s">
        <v>28</v>
      </c>
      <c r="E245" s="94" t="s">
        <v>28</v>
      </c>
      <c r="F245" s="68" t="s">
        <v>694</v>
      </c>
      <c r="G245" s="107" t="s">
        <v>30</v>
      </c>
      <c r="H245" s="38"/>
      <c r="I245" s="131">
        <v>1000000</v>
      </c>
      <c r="J245" s="96" t="s">
        <v>31</v>
      </c>
      <c r="K245" s="15"/>
      <c r="L245" s="54"/>
      <c r="M245" s="38"/>
      <c r="N245" s="132">
        <v>1</v>
      </c>
      <c r="O245" s="132"/>
      <c r="P245" s="102"/>
      <c r="Q245" s="102"/>
      <c r="R245" s="132"/>
      <c r="S245" s="133"/>
      <c r="T245" s="97"/>
      <c r="U245" s="97"/>
      <c r="V245" s="97"/>
      <c r="W245" s="133"/>
      <c r="X245" s="99"/>
      <c r="Y245" s="100" t="s">
        <v>315</v>
      </c>
    </row>
    <row r="246" spans="1:25" s="63" customFormat="1" ht="30">
      <c r="A246" s="70">
        <v>243</v>
      </c>
      <c r="B246" s="261" t="s">
        <v>695</v>
      </c>
      <c r="C246" s="262" t="s">
        <v>696</v>
      </c>
      <c r="D246" s="73" t="s">
        <v>28</v>
      </c>
      <c r="E246" s="74" t="s">
        <v>28</v>
      </c>
      <c r="F246" s="72" t="s">
        <v>691</v>
      </c>
      <c r="G246" s="75" t="s">
        <v>30</v>
      </c>
      <c r="H246" s="62"/>
      <c r="I246" s="263">
        <v>500000</v>
      </c>
      <c r="J246" s="77" t="s">
        <v>31</v>
      </c>
      <c r="K246" s="72"/>
      <c r="L246" s="78"/>
      <c r="M246" s="62"/>
      <c r="N246" s="264">
        <v>1</v>
      </c>
      <c r="O246" s="264"/>
      <c r="P246" s="265"/>
      <c r="Q246" s="265"/>
      <c r="R246" s="264"/>
      <c r="S246" s="266"/>
      <c r="T246" s="267"/>
      <c r="U246" s="267"/>
      <c r="V246" s="267"/>
      <c r="W246" s="266"/>
      <c r="X246" s="79"/>
      <c r="Y246" s="80" t="s">
        <v>419</v>
      </c>
    </row>
    <row r="247" spans="1:25" ht="30">
      <c r="A247" s="91">
        <v>244</v>
      </c>
      <c r="B247" s="92" t="s">
        <v>697</v>
      </c>
      <c r="C247" s="255" t="s">
        <v>698</v>
      </c>
      <c r="D247" s="93" t="s">
        <v>28</v>
      </c>
      <c r="E247" s="94" t="s">
        <v>28</v>
      </c>
      <c r="F247" s="68" t="s">
        <v>699</v>
      </c>
      <c r="G247" s="107" t="s">
        <v>30</v>
      </c>
      <c r="H247" s="33">
        <v>69</v>
      </c>
      <c r="I247" s="259">
        <v>400000</v>
      </c>
      <c r="J247" s="96" t="s">
        <v>31</v>
      </c>
      <c r="K247" s="68" t="s">
        <v>700</v>
      </c>
      <c r="L247" s="54"/>
      <c r="M247" s="38"/>
      <c r="N247" s="115" t="s">
        <v>107</v>
      </c>
      <c r="O247" s="115" t="s">
        <v>107</v>
      </c>
      <c r="P247" s="115" t="s">
        <v>107</v>
      </c>
      <c r="Q247" s="115" t="s">
        <v>107</v>
      </c>
      <c r="R247" s="115" t="s">
        <v>107</v>
      </c>
      <c r="S247" s="115" t="s">
        <v>107</v>
      </c>
      <c r="T247" s="115" t="s">
        <v>107</v>
      </c>
      <c r="U247" s="115" t="s">
        <v>107</v>
      </c>
      <c r="V247" s="115" t="s">
        <v>107</v>
      </c>
      <c r="W247" s="234">
        <v>1</v>
      </c>
      <c r="X247" s="99"/>
      <c r="Y247" s="100"/>
    </row>
    <row r="248" spans="1:25" ht="30">
      <c r="A248" s="91">
        <v>245</v>
      </c>
      <c r="B248" s="92" t="s">
        <v>701</v>
      </c>
      <c r="C248" s="255" t="s">
        <v>702</v>
      </c>
      <c r="D248" s="93" t="s">
        <v>28</v>
      </c>
      <c r="E248" s="94" t="s">
        <v>28</v>
      </c>
      <c r="F248" s="68" t="s">
        <v>699</v>
      </c>
      <c r="G248" s="107" t="s">
        <v>30</v>
      </c>
      <c r="H248" s="33">
        <f>0.3048*146</f>
        <v>44.500800000000005</v>
      </c>
      <c r="I248" s="259">
        <v>400000</v>
      </c>
      <c r="J248" s="96" t="s">
        <v>31</v>
      </c>
      <c r="K248" s="15"/>
      <c r="L248" s="54"/>
      <c r="M248" s="38"/>
      <c r="N248" s="115" t="s">
        <v>107</v>
      </c>
      <c r="O248" s="115" t="s">
        <v>107</v>
      </c>
      <c r="P248" s="115" t="s">
        <v>107</v>
      </c>
      <c r="Q248" s="115" t="s">
        <v>107</v>
      </c>
      <c r="R248" s="115" t="s">
        <v>107</v>
      </c>
      <c r="S248" s="115" t="s">
        <v>107</v>
      </c>
      <c r="T248" s="115" t="s">
        <v>107</v>
      </c>
      <c r="U248" s="115" t="s">
        <v>107</v>
      </c>
      <c r="V248" s="115" t="s">
        <v>107</v>
      </c>
      <c r="W248" s="234">
        <v>1</v>
      </c>
      <c r="X248" s="99"/>
      <c r="Y248" s="100"/>
    </row>
    <row r="249" spans="1:25" ht="36.75" customHeight="1">
      <c r="A249" s="268">
        <v>246</v>
      </c>
      <c r="B249" s="269" t="s">
        <v>703</v>
      </c>
      <c r="C249" s="15" t="s">
        <v>704</v>
      </c>
      <c r="D249" s="270" t="s">
        <v>28</v>
      </c>
      <c r="E249" s="271" t="s">
        <v>28</v>
      </c>
      <c r="F249" s="68" t="s">
        <v>699</v>
      </c>
      <c r="G249" s="235" t="s">
        <v>30</v>
      </c>
      <c r="H249" s="272">
        <f>0.3048*322</f>
        <v>98.145600000000002</v>
      </c>
      <c r="I249" s="273">
        <v>500000</v>
      </c>
      <c r="J249" s="274" t="s">
        <v>31</v>
      </c>
      <c r="K249" s="275"/>
      <c r="L249" s="276"/>
      <c r="M249" s="272"/>
      <c r="N249" s="277" t="s">
        <v>107</v>
      </c>
      <c r="O249" s="278"/>
      <c r="P249" s="279"/>
      <c r="Q249" s="279"/>
      <c r="R249" s="280">
        <v>1</v>
      </c>
      <c r="S249" s="281"/>
      <c r="T249" s="282"/>
      <c r="U249" s="282"/>
      <c r="V249" s="282"/>
      <c r="W249" s="281"/>
      <c r="X249" s="282"/>
      <c r="Y249" s="283"/>
    </row>
    <row r="250" spans="1:25" ht="30">
      <c r="A250" s="268">
        <v>247</v>
      </c>
      <c r="B250" s="269" t="s">
        <v>705</v>
      </c>
      <c r="C250" s="15" t="s">
        <v>706</v>
      </c>
      <c r="D250" s="270" t="s">
        <v>28</v>
      </c>
      <c r="E250" s="271" t="s">
        <v>28</v>
      </c>
      <c r="F250" s="68" t="s">
        <v>699</v>
      </c>
      <c r="G250" s="235" t="s">
        <v>30</v>
      </c>
      <c r="H250" s="272">
        <f>0.3048*347</f>
        <v>105.76560000000001</v>
      </c>
      <c r="I250" s="273">
        <v>500000</v>
      </c>
      <c r="J250" s="274" t="s">
        <v>31</v>
      </c>
      <c r="K250" s="275"/>
      <c r="L250" s="276"/>
      <c r="M250" s="272"/>
      <c r="N250" s="277" t="s">
        <v>107</v>
      </c>
      <c r="O250" s="278"/>
      <c r="P250" s="279"/>
      <c r="Q250" s="279"/>
      <c r="R250" s="280">
        <v>1</v>
      </c>
      <c r="S250" s="281"/>
      <c r="T250" s="282"/>
      <c r="U250" s="282"/>
      <c r="V250" s="282"/>
      <c r="W250" s="281"/>
      <c r="X250" s="282"/>
      <c r="Y250" s="283"/>
    </row>
    <row r="251" spans="1:25" s="51" customFormat="1" ht="30">
      <c r="A251" s="39" t="s">
        <v>707</v>
      </c>
      <c r="B251" s="85" t="s">
        <v>187</v>
      </c>
      <c r="C251" s="22" t="s">
        <v>708</v>
      </c>
      <c r="D251" s="41" t="s">
        <v>28</v>
      </c>
      <c r="E251" s="42" t="s">
        <v>28</v>
      </c>
      <c r="F251" s="18" t="s">
        <v>183</v>
      </c>
      <c r="G251" s="43" t="s">
        <v>30</v>
      </c>
      <c r="H251" s="22"/>
      <c r="I251" s="86">
        <v>325000</v>
      </c>
      <c r="J251" s="21" t="s">
        <v>31</v>
      </c>
      <c r="K251" s="18"/>
      <c r="L251" s="53"/>
      <c r="M251" s="22"/>
      <c r="N251" s="115" t="s">
        <v>107</v>
      </c>
      <c r="O251" s="115" t="s">
        <v>107</v>
      </c>
      <c r="P251" s="115" t="s">
        <v>107</v>
      </c>
      <c r="Q251" s="115" t="s">
        <v>107</v>
      </c>
      <c r="R251" s="115" t="s">
        <v>107</v>
      </c>
      <c r="S251" s="115" t="s">
        <v>107</v>
      </c>
      <c r="T251" s="115" t="s">
        <v>107</v>
      </c>
      <c r="U251" s="115" t="s">
        <v>107</v>
      </c>
      <c r="V251" s="115" t="s">
        <v>107</v>
      </c>
      <c r="W251" s="234">
        <v>1</v>
      </c>
      <c r="X251" s="49"/>
      <c r="Y251" s="50"/>
    </row>
    <row r="252" spans="1:25" s="51" customFormat="1" ht="30">
      <c r="A252" s="39" t="s">
        <v>709</v>
      </c>
      <c r="B252" s="85" t="s">
        <v>710</v>
      </c>
      <c r="C252" s="18" t="s">
        <v>711</v>
      </c>
      <c r="D252" s="41" t="s">
        <v>28</v>
      </c>
      <c r="E252" s="42" t="s">
        <v>28</v>
      </c>
      <c r="F252" s="18" t="s">
        <v>178</v>
      </c>
      <c r="G252" s="43" t="s">
        <v>30</v>
      </c>
      <c r="H252" s="22"/>
      <c r="I252" s="86">
        <v>100000</v>
      </c>
      <c r="J252" s="21" t="s">
        <v>31</v>
      </c>
      <c r="K252" s="18"/>
      <c r="L252" s="53"/>
      <c r="M252" s="22"/>
      <c r="N252" s="87"/>
      <c r="O252" s="88"/>
      <c r="P252" s="52"/>
      <c r="Q252" s="52"/>
      <c r="R252" s="87">
        <v>1</v>
      </c>
      <c r="S252" s="89"/>
      <c r="T252" s="46"/>
      <c r="U252" s="46"/>
      <c r="V252" s="46"/>
      <c r="W252" s="89"/>
      <c r="X252" s="49"/>
      <c r="Y252" s="50"/>
    </row>
    <row r="253" spans="1:25" ht="45">
      <c r="A253" s="91">
        <v>250</v>
      </c>
      <c r="B253" s="92" t="s">
        <v>712</v>
      </c>
      <c r="C253" s="15" t="s">
        <v>713</v>
      </c>
      <c r="D253" s="93" t="s">
        <v>28</v>
      </c>
      <c r="E253" s="94" t="s">
        <v>28</v>
      </c>
      <c r="F253" s="15" t="s">
        <v>714</v>
      </c>
      <c r="G253" s="107" t="s">
        <v>30</v>
      </c>
      <c r="H253" s="33">
        <f>0.3048*160</f>
        <v>48.768000000000001</v>
      </c>
      <c r="I253" s="131">
        <v>500000</v>
      </c>
      <c r="J253" s="96" t="s">
        <v>31</v>
      </c>
      <c r="K253" s="68" t="s">
        <v>595</v>
      </c>
      <c r="L253" s="54">
        <v>485000</v>
      </c>
      <c r="M253" s="194">
        <f>L253/(I253-I253*3%)</f>
        <v>1</v>
      </c>
      <c r="N253" s="233" t="s">
        <v>107</v>
      </c>
      <c r="O253" s="233" t="s">
        <v>107</v>
      </c>
      <c r="P253" s="233" t="s">
        <v>107</v>
      </c>
      <c r="Q253" s="233" t="s">
        <v>107</v>
      </c>
      <c r="R253" s="233" t="s">
        <v>107</v>
      </c>
      <c r="S253" s="233" t="s">
        <v>107</v>
      </c>
      <c r="T253" s="233" t="s">
        <v>107</v>
      </c>
      <c r="U253" s="233">
        <f>-U254</f>
        <v>0</v>
      </c>
      <c r="V253" s="233">
        <f>-V254</f>
        <v>0</v>
      </c>
      <c r="W253" s="234">
        <v>1</v>
      </c>
      <c r="X253" s="99"/>
      <c r="Y253" s="100"/>
    </row>
    <row r="254" spans="1:25" s="51" customFormat="1" ht="60">
      <c r="A254" s="39" t="s">
        <v>715</v>
      </c>
      <c r="B254" s="85" t="s">
        <v>716</v>
      </c>
      <c r="C254" s="18" t="s">
        <v>717</v>
      </c>
      <c r="D254" s="41" t="s">
        <v>28</v>
      </c>
      <c r="E254" s="42" t="s">
        <v>28</v>
      </c>
      <c r="F254" s="18" t="s">
        <v>462</v>
      </c>
      <c r="G254" s="43" t="s">
        <v>30</v>
      </c>
      <c r="H254" s="33">
        <f>0.3048*176</f>
        <v>53.644800000000004</v>
      </c>
      <c r="I254" s="90">
        <v>450000</v>
      </c>
      <c r="J254" s="21" t="s">
        <v>31</v>
      </c>
      <c r="K254" s="18" t="s">
        <v>106</v>
      </c>
      <c r="L254" s="53"/>
      <c r="M254" s="22"/>
      <c r="N254" s="115" t="s">
        <v>107</v>
      </c>
      <c r="O254" s="115" t="s">
        <v>107</v>
      </c>
      <c r="P254" s="115" t="s">
        <v>107</v>
      </c>
      <c r="Q254" s="115" t="s">
        <v>107</v>
      </c>
      <c r="R254" s="87">
        <v>1</v>
      </c>
      <c r="S254" s="89"/>
      <c r="T254" s="46"/>
      <c r="U254" s="46"/>
      <c r="V254" s="46"/>
      <c r="W254" s="89"/>
      <c r="X254" s="49"/>
      <c r="Y254" s="50"/>
    </row>
    <row r="255" spans="1:25" ht="30">
      <c r="A255" s="91">
        <v>252</v>
      </c>
      <c r="B255" s="92" t="s">
        <v>718</v>
      </c>
      <c r="C255" s="15" t="s">
        <v>719</v>
      </c>
      <c r="D255" s="93" t="s">
        <v>28</v>
      </c>
      <c r="E255" s="94" t="s">
        <v>28</v>
      </c>
      <c r="F255" s="15" t="s">
        <v>714</v>
      </c>
      <c r="G255" s="107" t="s">
        <v>30</v>
      </c>
      <c r="H255" s="38">
        <f>0.3048*266</f>
        <v>81.076800000000006</v>
      </c>
      <c r="I255" s="131">
        <v>500000</v>
      </c>
      <c r="J255" s="96" t="s">
        <v>31</v>
      </c>
      <c r="K255" s="68" t="s">
        <v>595</v>
      </c>
      <c r="L255" s="54">
        <v>485000</v>
      </c>
      <c r="M255" s="194">
        <f t="shared" ref="M255:M256" si="37">L255/(I255-I255*3%)</f>
        <v>1</v>
      </c>
      <c r="N255" s="233" t="s">
        <v>107</v>
      </c>
      <c r="O255" s="233" t="s">
        <v>107</v>
      </c>
      <c r="P255" s="233" t="s">
        <v>107</v>
      </c>
      <c r="Q255" s="233" t="s">
        <v>107</v>
      </c>
      <c r="R255" s="233" t="s">
        <v>107</v>
      </c>
      <c r="S255" s="233" t="s">
        <v>107</v>
      </c>
      <c r="T255" s="233" t="s">
        <v>107</v>
      </c>
      <c r="U255" s="233">
        <f t="shared" ref="U255:V256" si="38">-U256</f>
        <v>0</v>
      </c>
      <c r="V255" s="233">
        <f t="shared" si="38"/>
        <v>0</v>
      </c>
      <c r="W255" s="234">
        <v>1</v>
      </c>
      <c r="X255" s="99"/>
      <c r="Y255" s="100"/>
    </row>
    <row r="256" spans="1:25" ht="45">
      <c r="A256" s="91">
        <v>253</v>
      </c>
      <c r="B256" s="92" t="s">
        <v>720</v>
      </c>
      <c r="C256" s="15" t="s">
        <v>721</v>
      </c>
      <c r="D256" s="93" t="s">
        <v>28</v>
      </c>
      <c r="E256" s="94" t="s">
        <v>28</v>
      </c>
      <c r="F256" s="15" t="s">
        <v>714</v>
      </c>
      <c r="G256" s="107" t="s">
        <v>30</v>
      </c>
      <c r="H256" s="38">
        <f>0.3048*177</f>
        <v>53.949600000000004</v>
      </c>
      <c r="I256" s="131">
        <v>500000</v>
      </c>
      <c r="J256" s="96" t="s">
        <v>31</v>
      </c>
      <c r="K256" s="68" t="s">
        <v>595</v>
      </c>
      <c r="L256" s="54">
        <v>485000</v>
      </c>
      <c r="M256" s="194">
        <f t="shared" si="37"/>
        <v>1</v>
      </c>
      <c r="N256" s="233" t="s">
        <v>107</v>
      </c>
      <c r="O256" s="233" t="s">
        <v>107</v>
      </c>
      <c r="P256" s="233" t="s">
        <v>107</v>
      </c>
      <c r="Q256" s="233" t="s">
        <v>107</v>
      </c>
      <c r="R256" s="233" t="s">
        <v>107</v>
      </c>
      <c r="S256" s="233" t="s">
        <v>107</v>
      </c>
      <c r="T256" s="233" t="s">
        <v>107</v>
      </c>
      <c r="U256" s="233">
        <f t="shared" si="38"/>
        <v>0</v>
      </c>
      <c r="V256" s="233">
        <f t="shared" si="38"/>
        <v>0</v>
      </c>
      <c r="W256" s="234">
        <v>1</v>
      </c>
      <c r="X256" s="99"/>
      <c r="Y256" s="100"/>
    </row>
    <row r="257" spans="1:25" s="51" customFormat="1" ht="30">
      <c r="A257" s="39" t="s">
        <v>722</v>
      </c>
      <c r="B257" s="85" t="s">
        <v>723</v>
      </c>
      <c r="C257" s="18" t="s">
        <v>724</v>
      </c>
      <c r="D257" s="41" t="s">
        <v>28</v>
      </c>
      <c r="E257" s="42" t="s">
        <v>28</v>
      </c>
      <c r="F257" s="18" t="s">
        <v>699</v>
      </c>
      <c r="G257" s="43" t="s">
        <v>30</v>
      </c>
      <c r="H257" s="22"/>
      <c r="I257" s="90">
        <v>200000</v>
      </c>
      <c r="J257" s="21" t="s">
        <v>31</v>
      </c>
      <c r="K257" s="18"/>
      <c r="L257" s="53"/>
      <c r="M257" s="22"/>
      <c r="N257" s="87"/>
      <c r="O257" s="87"/>
      <c r="P257" s="52"/>
      <c r="Q257" s="52"/>
      <c r="R257" s="87">
        <v>1</v>
      </c>
      <c r="S257" s="89"/>
      <c r="T257" s="46"/>
      <c r="U257" s="46"/>
      <c r="V257" s="46"/>
      <c r="W257" s="89"/>
      <c r="X257" s="49"/>
      <c r="Y257" s="50"/>
    </row>
    <row r="258" spans="1:25" ht="45">
      <c r="A258" s="91">
        <v>255</v>
      </c>
      <c r="B258" s="92" t="s">
        <v>725</v>
      </c>
      <c r="C258" s="15" t="s">
        <v>726</v>
      </c>
      <c r="D258" s="93" t="s">
        <v>28</v>
      </c>
      <c r="E258" s="94" t="s">
        <v>28</v>
      </c>
      <c r="F258" s="15" t="s">
        <v>727</v>
      </c>
      <c r="G258" s="107" t="s">
        <v>30</v>
      </c>
      <c r="H258" s="38">
        <f>0.3048*95</f>
        <v>28.956000000000003</v>
      </c>
      <c r="I258" s="131">
        <v>250000</v>
      </c>
      <c r="J258" s="96" t="s">
        <v>31</v>
      </c>
      <c r="K258" s="68" t="s">
        <v>595</v>
      </c>
      <c r="L258" s="54"/>
      <c r="M258" s="38"/>
      <c r="N258" s="115" t="s">
        <v>107</v>
      </c>
      <c r="O258" s="115" t="s">
        <v>107</v>
      </c>
      <c r="P258" s="115" t="s">
        <v>107</v>
      </c>
      <c r="Q258" s="115" t="s">
        <v>107</v>
      </c>
      <c r="R258" s="115" t="s">
        <v>107</v>
      </c>
      <c r="S258" s="115" t="s">
        <v>107</v>
      </c>
      <c r="T258" s="115" t="s">
        <v>107</v>
      </c>
      <c r="U258" s="115" t="s">
        <v>107</v>
      </c>
      <c r="V258" s="115" t="s">
        <v>107</v>
      </c>
      <c r="W258" s="234">
        <v>1</v>
      </c>
      <c r="X258" s="99"/>
      <c r="Y258" s="100"/>
    </row>
    <row r="259" spans="1:25" ht="30">
      <c r="A259" s="91">
        <v>256</v>
      </c>
      <c r="B259" s="92" t="s">
        <v>728</v>
      </c>
      <c r="C259" s="15" t="s">
        <v>729</v>
      </c>
      <c r="D259" s="93" t="s">
        <v>28</v>
      </c>
      <c r="E259" s="94" t="s">
        <v>28</v>
      </c>
      <c r="F259" s="57" t="s">
        <v>730</v>
      </c>
      <c r="G259" s="107" t="s">
        <v>30</v>
      </c>
      <c r="H259" s="38">
        <f>0.3048*70</f>
        <v>21.336000000000002</v>
      </c>
      <c r="I259" s="131">
        <v>250000</v>
      </c>
      <c r="J259" s="96" t="s">
        <v>31</v>
      </c>
      <c r="K259" s="68" t="s">
        <v>595</v>
      </c>
      <c r="L259" s="54">
        <v>242500</v>
      </c>
      <c r="M259" s="194">
        <f>L259/(I259-I259*3%)</f>
        <v>1</v>
      </c>
      <c r="N259" s="115" t="s">
        <v>107</v>
      </c>
      <c r="O259" s="115" t="s">
        <v>107</v>
      </c>
      <c r="P259" s="115" t="s">
        <v>107</v>
      </c>
      <c r="Q259" s="115" t="s">
        <v>107</v>
      </c>
      <c r="R259" s="115" t="s">
        <v>107</v>
      </c>
      <c r="S259" s="115" t="s">
        <v>107</v>
      </c>
      <c r="T259" s="115" t="s">
        <v>107</v>
      </c>
      <c r="U259" s="115" t="s">
        <v>107</v>
      </c>
      <c r="V259" s="115" t="s">
        <v>107</v>
      </c>
      <c r="W259" s="234">
        <v>1</v>
      </c>
      <c r="X259" s="99"/>
      <c r="Y259" s="100"/>
    </row>
    <row r="260" spans="1:25" ht="30">
      <c r="A260" s="91">
        <v>257</v>
      </c>
      <c r="B260" s="92" t="s">
        <v>731</v>
      </c>
      <c r="C260" s="15" t="s">
        <v>732</v>
      </c>
      <c r="D260" s="93" t="s">
        <v>28</v>
      </c>
      <c r="E260" s="94" t="s">
        <v>28</v>
      </c>
      <c r="F260" s="57" t="s">
        <v>730</v>
      </c>
      <c r="G260" s="107" t="s">
        <v>30</v>
      </c>
      <c r="H260" s="38">
        <f>0.3048*95</f>
        <v>28.956000000000003</v>
      </c>
      <c r="I260" s="54">
        <v>250000</v>
      </c>
      <c r="J260" s="96" t="s">
        <v>31</v>
      </c>
      <c r="K260" s="15"/>
      <c r="L260" s="54"/>
      <c r="M260" s="38"/>
      <c r="N260" s="115" t="s">
        <v>107</v>
      </c>
      <c r="O260" s="115" t="s">
        <v>107</v>
      </c>
      <c r="P260" s="115" t="s">
        <v>107</v>
      </c>
      <c r="Q260" s="115" t="s">
        <v>107</v>
      </c>
      <c r="R260" s="115" t="s">
        <v>107</v>
      </c>
      <c r="S260" s="115" t="s">
        <v>107</v>
      </c>
      <c r="T260" s="115" t="s">
        <v>107</v>
      </c>
      <c r="U260" s="115" t="s">
        <v>107</v>
      </c>
      <c r="V260" s="115" t="s">
        <v>107</v>
      </c>
      <c r="W260" s="234">
        <v>1</v>
      </c>
      <c r="X260" s="99"/>
      <c r="Y260" s="100"/>
    </row>
    <row r="261" spans="1:25" ht="45">
      <c r="A261" s="91">
        <v>258</v>
      </c>
      <c r="B261" s="92" t="s">
        <v>733</v>
      </c>
      <c r="C261" s="15" t="s">
        <v>734</v>
      </c>
      <c r="D261" s="93" t="s">
        <v>28</v>
      </c>
      <c r="E261" s="94" t="s">
        <v>28</v>
      </c>
      <c r="F261" s="68" t="s">
        <v>556</v>
      </c>
      <c r="G261" s="107" t="s">
        <v>30</v>
      </c>
      <c r="H261" s="33">
        <f>0.3048*179</f>
        <v>54.559200000000004</v>
      </c>
      <c r="I261" s="54">
        <v>500000</v>
      </c>
      <c r="J261" s="96" t="s">
        <v>31</v>
      </c>
      <c r="K261" s="68" t="s">
        <v>557</v>
      </c>
      <c r="L261" s="54"/>
      <c r="M261" s="38"/>
      <c r="N261" s="115" t="s">
        <v>107</v>
      </c>
      <c r="O261" s="115" t="s">
        <v>107</v>
      </c>
      <c r="P261" s="115" t="s">
        <v>107</v>
      </c>
      <c r="Q261" s="115" t="s">
        <v>107</v>
      </c>
      <c r="R261" s="115" t="s">
        <v>107</v>
      </c>
      <c r="S261" s="115" t="s">
        <v>107</v>
      </c>
      <c r="T261" s="115" t="s">
        <v>107</v>
      </c>
      <c r="U261" s="115" t="s">
        <v>107</v>
      </c>
      <c r="V261" s="115" t="s">
        <v>107</v>
      </c>
      <c r="W261" s="234">
        <v>1</v>
      </c>
      <c r="X261" s="99"/>
      <c r="Y261" s="100"/>
    </row>
    <row r="262" spans="1:25" ht="45">
      <c r="A262" s="91">
        <v>259</v>
      </c>
      <c r="B262" s="92" t="s">
        <v>735</v>
      </c>
      <c r="C262" s="15" t="s">
        <v>736</v>
      </c>
      <c r="D262" s="93" t="s">
        <v>28</v>
      </c>
      <c r="E262" s="94" t="s">
        <v>28</v>
      </c>
      <c r="F262" s="68" t="s">
        <v>556</v>
      </c>
      <c r="G262" s="95" t="s">
        <v>30</v>
      </c>
      <c r="H262" s="38">
        <f>0.3048*185</f>
        <v>56.388000000000005</v>
      </c>
      <c r="I262" s="54">
        <v>600000</v>
      </c>
      <c r="J262" s="96" t="s">
        <v>31</v>
      </c>
      <c r="K262" s="15"/>
      <c r="L262" s="54"/>
      <c r="M262" s="38"/>
      <c r="N262" s="115" t="s">
        <v>107</v>
      </c>
      <c r="O262" s="115" t="s">
        <v>107</v>
      </c>
      <c r="P262" s="115" t="s">
        <v>107</v>
      </c>
      <c r="Q262" s="115" t="s">
        <v>107</v>
      </c>
      <c r="R262" s="115" t="s">
        <v>107</v>
      </c>
      <c r="S262" s="115" t="s">
        <v>107</v>
      </c>
      <c r="T262" s="115" t="s">
        <v>107</v>
      </c>
      <c r="U262" s="115" t="s">
        <v>107</v>
      </c>
      <c r="V262" s="115" t="s">
        <v>107</v>
      </c>
      <c r="W262" s="234">
        <v>1</v>
      </c>
      <c r="X262" s="99"/>
      <c r="Y262" s="100"/>
    </row>
    <row r="263" spans="1:25" ht="24.75" customHeight="1">
      <c r="A263" s="91">
        <v>260</v>
      </c>
      <c r="B263" s="92" t="s">
        <v>737</v>
      </c>
      <c r="C263" s="69" t="s">
        <v>738</v>
      </c>
      <c r="D263" s="93" t="s">
        <v>28</v>
      </c>
      <c r="E263" s="94" t="s">
        <v>28</v>
      </c>
      <c r="F263" s="15"/>
      <c r="G263" s="95" t="s">
        <v>30</v>
      </c>
      <c r="H263" s="38"/>
      <c r="I263" s="54">
        <v>2000000</v>
      </c>
      <c r="J263" s="96" t="s">
        <v>31</v>
      </c>
      <c r="K263" s="15"/>
      <c r="L263" s="54"/>
      <c r="M263" s="38"/>
      <c r="N263" s="115" t="s">
        <v>107</v>
      </c>
      <c r="O263" s="115" t="s">
        <v>107</v>
      </c>
      <c r="P263" s="115" t="s">
        <v>107</v>
      </c>
      <c r="Q263" s="115" t="s">
        <v>107</v>
      </c>
      <c r="R263" s="115" t="s">
        <v>107</v>
      </c>
      <c r="S263" s="115">
        <v>1</v>
      </c>
      <c r="T263" s="97"/>
      <c r="U263" s="97"/>
      <c r="V263" s="97"/>
      <c r="W263" s="98"/>
      <c r="X263" s="99"/>
      <c r="Y263" s="100"/>
    </row>
    <row r="264" spans="1:25">
      <c r="A264" s="91">
        <v>261</v>
      </c>
      <c r="B264" s="92" t="s">
        <v>739</v>
      </c>
      <c r="C264" s="69" t="s">
        <v>740</v>
      </c>
      <c r="D264" s="93" t="s">
        <v>28</v>
      </c>
      <c r="E264" s="94" t="s">
        <v>28</v>
      </c>
      <c r="F264" s="15"/>
      <c r="G264" s="95" t="s">
        <v>30</v>
      </c>
      <c r="H264" s="38"/>
      <c r="I264" s="54">
        <v>2000000</v>
      </c>
      <c r="J264" s="96" t="s">
        <v>31</v>
      </c>
      <c r="K264" s="15"/>
      <c r="L264" s="54"/>
      <c r="M264" s="38"/>
      <c r="N264" s="115" t="s">
        <v>107</v>
      </c>
      <c r="O264" s="115" t="s">
        <v>107</v>
      </c>
      <c r="P264" s="115" t="s">
        <v>107</v>
      </c>
      <c r="Q264" s="115" t="s">
        <v>107</v>
      </c>
      <c r="R264" s="115">
        <v>1</v>
      </c>
      <c r="S264" s="98"/>
      <c r="T264" s="99"/>
      <c r="U264" s="99"/>
      <c r="V264" s="99"/>
      <c r="W264" s="98"/>
      <c r="X264" s="99"/>
      <c r="Y264" s="100"/>
    </row>
    <row r="265" spans="1:25" ht="30">
      <c r="A265" s="91">
        <v>262</v>
      </c>
      <c r="B265" s="92" t="s">
        <v>741</v>
      </c>
      <c r="C265" s="69" t="s">
        <v>742</v>
      </c>
      <c r="D265" s="93" t="s">
        <v>28</v>
      </c>
      <c r="E265" s="94" t="s">
        <v>28</v>
      </c>
      <c r="F265" s="68" t="s">
        <v>531</v>
      </c>
      <c r="G265" s="95" t="s">
        <v>30</v>
      </c>
      <c r="H265" s="38"/>
      <c r="I265" s="54">
        <v>2000000</v>
      </c>
      <c r="J265" s="96" t="s">
        <v>31</v>
      </c>
      <c r="K265" s="15"/>
      <c r="L265" s="54"/>
      <c r="M265" s="38"/>
      <c r="N265" s="101">
        <v>1</v>
      </c>
      <c r="O265" s="101"/>
      <c r="P265" s="102"/>
      <c r="Q265" s="102"/>
      <c r="R265" s="101"/>
      <c r="S265" s="98"/>
      <c r="T265" s="97"/>
      <c r="U265" s="97"/>
      <c r="V265" s="97"/>
      <c r="W265" s="98"/>
      <c r="X265" s="99"/>
      <c r="Y265" s="100"/>
    </row>
    <row r="266" spans="1:25" ht="30">
      <c r="A266" s="91">
        <v>263</v>
      </c>
      <c r="B266" s="92" t="s">
        <v>743</v>
      </c>
      <c r="C266" s="255" t="s">
        <v>744</v>
      </c>
      <c r="D266" s="93" t="s">
        <v>28</v>
      </c>
      <c r="E266" s="94" t="s">
        <v>28</v>
      </c>
      <c r="F266" s="68" t="s">
        <v>536</v>
      </c>
      <c r="G266" s="95" t="s">
        <v>30</v>
      </c>
      <c r="H266" s="33">
        <f>0.3048*(300+12)</f>
        <v>95.0976</v>
      </c>
      <c r="I266" s="54">
        <v>1000000</v>
      </c>
      <c r="J266" s="96" t="s">
        <v>31</v>
      </c>
      <c r="K266" s="15"/>
      <c r="L266" s="54"/>
      <c r="M266" s="38"/>
      <c r="N266" s="115" t="s">
        <v>107</v>
      </c>
      <c r="O266" s="115" t="s">
        <v>107</v>
      </c>
      <c r="P266" s="115" t="s">
        <v>107</v>
      </c>
      <c r="Q266" s="115" t="s">
        <v>107</v>
      </c>
      <c r="R266" s="115" t="s">
        <v>107</v>
      </c>
      <c r="S266" s="115" t="s">
        <v>107</v>
      </c>
      <c r="T266" s="115" t="s">
        <v>107</v>
      </c>
      <c r="U266" s="115" t="s">
        <v>107</v>
      </c>
      <c r="V266" s="115" t="s">
        <v>107</v>
      </c>
      <c r="W266" s="234">
        <v>1</v>
      </c>
      <c r="X266" s="99"/>
      <c r="Y266" s="100"/>
    </row>
    <row r="267" spans="1:25" s="51" customFormat="1">
      <c r="A267" s="39" t="s">
        <v>745</v>
      </c>
      <c r="B267" s="85" t="s">
        <v>746</v>
      </c>
      <c r="C267" s="82" t="s">
        <v>747</v>
      </c>
      <c r="D267" s="41" t="s">
        <v>28</v>
      </c>
      <c r="E267" s="42" t="s">
        <v>28</v>
      </c>
      <c r="F267" s="18" t="s">
        <v>699</v>
      </c>
      <c r="G267" s="103" t="s">
        <v>30</v>
      </c>
      <c r="H267" s="22">
        <f>0.3048*352</f>
        <v>107.28960000000001</v>
      </c>
      <c r="I267" s="53">
        <v>250000</v>
      </c>
      <c r="J267" s="21" t="s">
        <v>31</v>
      </c>
      <c r="K267" s="18"/>
      <c r="L267" s="53"/>
      <c r="M267" s="22"/>
      <c r="N267" s="115" t="s">
        <v>107</v>
      </c>
      <c r="O267" s="87"/>
      <c r="P267" s="104">
        <v>0</v>
      </c>
      <c r="Q267" s="104">
        <v>0</v>
      </c>
      <c r="R267" s="104">
        <v>1</v>
      </c>
      <c r="S267" s="105"/>
      <c r="T267" s="46"/>
      <c r="U267" s="46"/>
      <c r="V267" s="46"/>
      <c r="W267" s="105"/>
      <c r="X267" s="49"/>
      <c r="Y267" s="50"/>
    </row>
    <row r="268" spans="1:25" ht="30">
      <c r="A268" s="91">
        <v>265</v>
      </c>
      <c r="B268" s="92" t="s">
        <v>748</v>
      </c>
      <c r="C268" s="69" t="s">
        <v>749</v>
      </c>
      <c r="D268" s="93" t="s">
        <v>28</v>
      </c>
      <c r="E268" s="94" t="s">
        <v>28</v>
      </c>
      <c r="F268" s="68" t="s">
        <v>536</v>
      </c>
      <c r="G268" s="95" t="s">
        <v>30</v>
      </c>
      <c r="H268" s="38"/>
      <c r="I268" s="54">
        <v>2000000</v>
      </c>
      <c r="J268" s="96" t="s">
        <v>31</v>
      </c>
      <c r="K268" s="15"/>
      <c r="L268" s="54"/>
      <c r="M268" s="38"/>
      <c r="N268" s="115" t="s">
        <v>107</v>
      </c>
      <c r="O268" s="106"/>
      <c r="P268" s="102"/>
      <c r="Q268" s="102"/>
      <c r="R268" s="101">
        <v>1</v>
      </c>
      <c r="S268" s="98"/>
      <c r="T268" s="97"/>
      <c r="U268" s="97"/>
      <c r="V268" s="97"/>
      <c r="W268" s="98"/>
      <c r="X268" s="99"/>
      <c r="Y268" s="100"/>
    </row>
    <row r="269" spans="1:25" ht="30">
      <c r="A269" s="91">
        <v>266</v>
      </c>
      <c r="B269" s="92" t="s">
        <v>750</v>
      </c>
      <c r="C269" s="255" t="s">
        <v>751</v>
      </c>
      <c r="D269" s="93" t="s">
        <v>28</v>
      </c>
      <c r="E269" s="94" t="s">
        <v>28</v>
      </c>
      <c r="F269" s="68" t="s">
        <v>536</v>
      </c>
      <c r="G269" s="95" t="s">
        <v>30</v>
      </c>
      <c r="H269" s="38">
        <f>0.3048*312</f>
        <v>95.0976</v>
      </c>
      <c r="I269" s="54">
        <v>1000000</v>
      </c>
      <c r="J269" s="96" t="s">
        <v>31</v>
      </c>
      <c r="K269" s="68" t="s">
        <v>456</v>
      </c>
      <c r="L269" s="54">
        <v>776000</v>
      </c>
      <c r="M269" s="194">
        <f>L269/(I269-I269*3%)</f>
        <v>0.8</v>
      </c>
      <c r="N269" s="233" t="s">
        <v>107</v>
      </c>
      <c r="O269" s="233" t="s">
        <v>107</v>
      </c>
      <c r="P269" s="233" t="s">
        <v>107</v>
      </c>
      <c r="Q269" s="233" t="s">
        <v>107</v>
      </c>
      <c r="R269" s="233" t="s">
        <v>107</v>
      </c>
      <c r="S269" s="233" t="s">
        <v>107</v>
      </c>
      <c r="T269" s="233" t="s">
        <v>107</v>
      </c>
      <c r="U269" s="233">
        <f t="shared" ref="U269:V271" si="39">-U270</f>
        <v>0</v>
      </c>
      <c r="V269" s="233">
        <f t="shared" si="39"/>
        <v>0</v>
      </c>
      <c r="W269" s="234">
        <v>1</v>
      </c>
      <c r="X269" s="99"/>
      <c r="Y269" s="100"/>
    </row>
    <row r="270" spans="1:25" ht="30">
      <c r="A270" s="91">
        <v>267</v>
      </c>
      <c r="B270" s="92" t="s">
        <v>752</v>
      </c>
      <c r="C270" s="69" t="s">
        <v>753</v>
      </c>
      <c r="D270" s="93" t="s">
        <v>28</v>
      </c>
      <c r="E270" s="94" t="s">
        <v>28</v>
      </c>
      <c r="F270" s="68" t="s">
        <v>536</v>
      </c>
      <c r="G270" s="107" t="s">
        <v>30</v>
      </c>
      <c r="H270" s="38">
        <f>0.3048*214</f>
        <v>65.227199999999996</v>
      </c>
      <c r="I270" s="54">
        <v>1000000</v>
      </c>
      <c r="J270" s="96" t="s">
        <v>31</v>
      </c>
      <c r="K270" s="68" t="s">
        <v>456</v>
      </c>
      <c r="L270" s="54"/>
      <c r="M270" s="38"/>
      <c r="N270" s="115" t="s">
        <v>107</v>
      </c>
      <c r="O270" s="115" t="s">
        <v>107</v>
      </c>
      <c r="P270" s="115" t="s">
        <v>107</v>
      </c>
      <c r="Q270" s="115" t="s">
        <v>107</v>
      </c>
      <c r="R270" s="115" t="s">
        <v>107</v>
      </c>
      <c r="S270" s="233" t="s">
        <v>107</v>
      </c>
      <c r="T270" s="233" t="s">
        <v>107</v>
      </c>
      <c r="U270" s="233">
        <f t="shared" si="39"/>
        <v>0</v>
      </c>
      <c r="V270" s="233">
        <f t="shared" si="39"/>
        <v>0</v>
      </c>
      <c r="W270" s="234">
        <v>1</v>
      </c>
      <c r="X270" s="99"/>
      <c r="Y270" s="100"/>
    </row>
    <row r="271" spans="1:25" ht="30">
      <c r="A271" s="91">
        <v>268</v>
      </c>
      <c r="B271" s="92" t="s">
        <v>754</v>
      </c>
      <c r="C271" s="69" t="s">
        <v>755</v>
      </c>
      <c r="D271" s="93" t="s">
        <v>28</v>
      </c>
      <c r="E271" s="94" t="s">
        <v>28</v>
      </c>
      <c r="F271" s="68" t="s">
        <v>536</v>
      </c>
      <c r="G271" s="107" t="s">
        <v>30</v>
      </c>
      <c r="H271" s="38">
        <f>0.3048*418</f>
        <v>127.4064</v>
      </c>
      <c r="I271" s="54">
        <v>1000000</v>
      </c>
      <c r="J271" s="96" t="s">
        <v>31</v>
      </c>
      <c r="K271" s="68" t="s">
        <v>193</v>
      </c>
      <c r="L271" s="54">
        <v>970000</v>
      </c>
      <c r="M271" s="194">
        <f>L271/(I271-I271*3%)</f>
        <v>1</v>
      </c>
      <c r="N271" s="233" t="s">
        <v>107</v>
      </c>
      <c r="O271" s="233" t="s">
        <v>107</v>
      </c>
      <c r="P271" s="233" t="s">
        <v>107</v>
      </c>
      <c r="Q271" s="233" t="s">
        <v>107</v>
      </c>
      <c r="R271" s="233" t="s">
        <v>107</v>
      </c>
      <c r="S271" s="233" t="s">
        <v>107</v>
      </c>
      <c r="T271" s="233" t="s">
        <v>107</v>
      </c>
      <c r="U271" s="233">
        <f t="shared" si="39"/>
        <v>0</v>
      </c>
      <c r="V271" s="233">
        <f t="shared" si="39"/>
        <v>0</v>
      </c>
      <c r="W271" s="234">
        <v>1</v>
      </c>
      <c r="X271" s="99"/>
      <c r="Y271" s="100"/>
    </row>
    <row r="272" spans="1:25" ht="26.25" customHeight="1">
      <c r="A272" s="91">
        <v>269</v>
      </c>
      <c r="B272" s="92" t="s">
        <v>756</v>
      </c>
      <c r="C272" s="69" t="s">
        <v>757</v>
      </c>
      <c r="D272" s="93" t="s">
        <v>28</v>
      </c>
      <c r="E272" s="94" t="s">
        <v>28</v>
      </c>
      <c r="F272" s="68" t="s">
        <v>222</v>
      </c>
      <c r="G272" s="107" t="s">
        <v>30</v>
      </c>
      <c r="H272" s="38"/>
      <c r="I272" s="54">
        <v>2000000</v>
      </c>
      <c r="J272" s="96" t="s">
        <v>31</v>
      </c>
      <c r="K272" s="15"/>
      <c r="L272" s="54"/>
      <c r="M272" s="38"/>
      <c r="N272" s="233" t="s">
        <v>107</v>
      </c>
      <c r="O272" s="101">
        <v>1</v>
      </c>
      <c r="P272" s="102"/>
      <c r="Q272" s="102"/>
      <c r="R272" s="101"/>
      <c r="S272" s="98"/>
      <c r="T272" s="97"/>
      <c r="U272" s="97"/>
      <c r="V272" s="97"/>
      <c r="W272" s="98"/>
      <c r="X272" s="99"/>
      <c r="Y272" s="100"/>
    </row>
    <row r="273" spans="1:25" ht="30">
      <c r="A273" s="91">
        <v>270</v>
      </c>
      <c r="B273" s="92" t="s">
        <v>758</v>
      </c>
      <c r="C273" s="69" t="s">
        <v>759</v>
      </c>
      <c r="D273" s="93" t="s">
        <v>28</v>
      </c>
      <c r="E273" s="94" t="s">
        <v>28</v>
      </c>
      <c r="F273" s="68" t="s">
        <v>760</v>
      </c>
      <c r="G273" s="107" t="s">
        <v>30</v>
      </c>
      <c r="H273" s="38">
        <f>0.3048*322</f>
        <v>98.145600000000002</v>
      </c>
      <c r="I273" s="54">
        <v>1000000</v>
      </c>
      <c r="J273" s="96" t="s">
        <v>31</v>
      </c>
      <c r="K273" s="15"/>
      <c r="L273" s="54"/>
      <c r="M273" s="38"/>
      <c r="N273" s="115" t="s">
        <v>107</v>
      </c>
      <c r="O273" s="115" t="s">
        <v>107</v>
      </c>
      <c r="P273" s="115" t="s">
        <v>107</v>
      </c>
      <c r="Q273" s="115" t="s">
        <v>107</v>
      </c>
      <c r="R273" s="115" t="s">
        <v>107</v>
      </c>
      <c r="S273" s="101">
        <v>1</v>
      </c>
      <c r="T273" s="99"/>
      <c r="U273" s="99"/>
      <c r="V273" s="99"/>
      <c r="W273" s="98"/>
      <c r="X273" s="99"/>
      <c r="Y273" s="100"/>
    </row>
    <row r="274" spans="1:25" s="51" customFormat="1" ht="30">
      <c r="A274" s="39" t="s">
        <v>761</v>
      </c>
      <c r="B274" s="85" t="s">
        <v>762</v>
      </c>
      <c r="C274" s="82" t="s">
        <v>763</v>
      </c>
      <c r="D274" s="41" t="s">
        <v>28</v>
      </c>
      <c r="E274" s="42" t="s">
        <v>28</v>
      </c>
      <c r="F274" s="18" t="s">
        <v>764</v>
      </c>
      <c r="G274" s="108" t="s">
        <v>30</v>
      </c>
      <c r="H274" s="38">
        <f>0.3048*17</f>
        <v>5.1816000000000004</v>
      </c>
      <c r="I274" s="53">
        <v>500000</v>
      </c>
      <c r="J274" s="21" t="s">
        <v>31</v>
      </c>
      <c r="K274" s="18"/>
      <c r="L274" s="53"/>
      <c r="M274" s="22"/>
      <c r="N274" s="115" t="s">
        <v>107</v>
      </c>
      <c r="O274" s="109">
        <v>1</v>
      </c>
      <c r="P274" s="52"/>
      <c r="Q274" s="52"/>
      <c r="R274" s="109"/>
      <c r="S274" s="105"/>
      <c r="T274" s="46"/>
      <c r="U274" s="46"/>
      <c r="V274" s="46"/>
      <c r="W274" s="105"/>
      <c r="X274" s="49"/>
      <c r="Y274" s="50"/>
    </row>
    <row r="275" spans="1:25" ht="30">
      <c r="A275" s="91">
        <v>272</v>
      </c>
      <c r="B275" s="92" t="s">
        <v>765</v>
      </c>
      <c r="C275" s="69" t="s">
        <v>766</v>
      </c>
      <c r="D275" s="93" t="s">
        <v>28</v>
      </c>
      <c r="E275" s="94" t="s">
        <v>28</v>
      </c>
      <c r="F275" s="68" t="s">
        <v>767</v>
      </c>
      <c r="G275" s="95" t="s">
        <v>30</v>
      </c>
      <c r="H275" s="38"/>
      <c r="I275" s="54">
        <v>1000000</v>
      </c>
      <c r="J275" s="96" t="s">
        <v>31</v>
      </c>
      <c r="K275" s="15"/>
      <c r="L275" s="54"/>
      <c r="M275" s="38"/>
      <c r="N275" s="115" t="s">
        <v>107</v>
      </c>
      <c r="O275" s="101"/>
      <c r="P275" s="102"/>
      <c r="Q275" s="102"/>
      <c r="R275" s="101">
        <v>1</v>
      </c>
      <c r="S275" s="98"/>
      <c r="T275" s="97"/>
      <c r="U275" s="97"/>
      <c r="V275" s="97"/>
      <c r="W275" s="98"/>
      <c r="X275" s="99"/>
      <c r="Y275" s="100"/>
    </row>
    <row r="276" spans="1:25" ht="30">
      <c r="A276" s="91">
        <v>273</v>
      </c>
      <c r="B276" s="92" t="s">
        <v>768</v>
      </c>
      <c r="C276" s="69" t="s">
        <v>769</v>
      </c>
      <c r="D276" s="93" t="s">
        <v>28</v>
      </c>
      <c r="E276" s="94" t="s">
        <v>28</v>
      </c>
      <c r="F276" s="68" t="s">
        <v>767</v>
      </c>
      <c r="G276" s="95" t="s">
        <v>30</v>
      </c>
      <c r="H276" s="38"/>
      <c r="I276" s="54">
        <v>1000000</v>
      </c>
      <c r="J276" s="96" t="s">
        <v>31</v>
      </c>
      <c r="K276" s="15"/>
      <c r="L276" s="54"/>
      <c r="M276" s="38"/>
      <c r="N276" s="115" t="s">
        <v>107</v>
      </c>
      <c r="O276" s="101">
        <v>1</v>
      </c>
      <c r="P276" s="102"/>
      <c r="Q276" s="102"/>
      <c r="R276" s="101"/>
      <c r="S276" s="98"/>
      <c r="T276" s="97"/>
      <c r="U276" s="97"/>
      <c r="V276" s="97"/>
      <c r="W276" s="98"/>
      <c r="X276" s="99"/>
      <c r="Y276" s="100"/>
    </row>
    <row r="277" spans="1:25" ht="30.75" thickBot="1">
      <c r="A277" s="91">
        <v>274</v>
      </c>
      <c r="B277" s="110" t="s">
        <v>770</v>
      </c>
      <c r="C277" s="15" t="s">
        <v>771</v>
      </c>
      <c r="D277" s="93" t="s">
        <v>28</v>
      </c>
      <c r="E277" s="94" t="s">
        <v>28</v>
      </c>
      <c r="F277" s="68" t="s">
        <v>772</v>
      </c>
      <c r="G277" s="95" t="s">
        <v>773</v>
      </c>
      <c r="H277" s="38"/>
      <c r="I277" s="114">
        <v>200000</v>
      </c>
      <c r="J277" s="96" t="s">
        <v>31</v>
      </c>
      <c r="K277" s="15"/>
      <c r="L277" s="54"/>
      <c r="M277" s="38"/>
      <c r="N277" s="115">
        <v>1</v>
      </c>
      <c r="O277" s="115"/>
      <c r="P277" s="102"/>
      <c r="Q277" s="102"/>
      <c r="R277" s="115"/>
      <c r="S277" s="116"/>
      <c r="T277" s="97"/>
      <c r="U277" s="97"/>
      <c r="V277" s="97"/>
      <c r="W277" s="116"/>
      <c r="X277" s="99"/>
      <c r="Y277" s="100" t="s">
        <v>774</v>
      </c>
    </row>
    <row r="278" spans="1:25" ht="30.75" customHeight="1" thickBot="1">
      <c r="A278" s="91">
        <v>275</v>
      </c>
      <c r="B278" s="110" t="s">
        <v>775</v>
      </c>
      <c r="C278" s="111" t="s">
        <v>776</v>
      </c>
      <c r="D278" s="93" t="s">
        <v>28</v>
      </c>
      <c r="E278" s="94" t="s">
        <v>28</v>
      </c>
      <c r="F278" s="112" t="s">
        <v>600</v>
      </c>
      <c r="G278" s="113" t="s">
        <v>773</v>
      </c>
      <c r="H278" s="38"/>
      <c r="I278" s="114">
        <v>100000</v>
      </c>
      <c r="J278" s="96" t="s">
        <v>31</v>
      </c>
      <c r="K278" s="15"/>
      <c r="L278" s="54"/>
      <c r="M278" s="38"/>
      <c r="N278" s="115">
        <v>1</v>
      </c>
      <c r="O278" s="115"/>
      <c r="P278" s="102"/>
      <c r="Q278" s="102"/>
      <c r="R278" s="115"/>
      <c r="S278" s="116"/>
      <c r="T278" s="97"/>
      <c r="U278" s="97"/>
      <c r="V278" s="97"/>
      <c r="W278" s="116"/>
      <c r="X278" s="99"/>
      <c r="Y278" s="100"/>
    </row>
    <row r="279" spans="1:25" ht="30">
      <c r="A279" s="91">
        <v>276</v>
      </c>
      <c r="B279" s="110" t="s">
        <v>777</v>
      </c>
      <c r="C279" s="15" t="s">
        <v>778</v>
      </c>
      <c r="D279" s="93" t="s">
        <v>28</v>
      </c>
      <c r="E279" s="94" t="s">
        <v>28</v>
      </c>
      <c r="F279" s="68" t="s">
        <v>779</v>
      </c>
      <c r="G279" s="113" t="s">
        <v>89</v>
      </c>
      <c r="H279" s="38"/>
      <c r="I279" s="114">
        <v>500000</v>
      </c>
      <c r="J279" s="68" t="s">
        <v>780</v>
      </c>
      <c r="K279" s="15"/>
      <c r="L279" s="54"/>
      <c r="M279" s="38"/>
      <c r="N279" s="115"/>
      <c r="O279" s="115">
        <v>1</v>
      </c>
      <c r="P279" s="102"/>
      <c r="Q279" s="102"/>
      <c r="R279" s="115"/>
      <c r="S279" s="116"/>
      <c r="T279" s="97"/>
      <c r="U279" s="97"/>
      <c r="V279" s="97"/>
      <c r="W279" s="116"/>
      <c r="X279" s="99"/>
      <c r="Y279" s="100" t="s">
        <v>781</v>
      </c>
    </row>
    <row r="280" spans="1:25" ht="60">
      <c r="A280" s="91">
        <v>277</v>
      </c>
      <c r="B280" s="110" t="s">
        <v>782</v>
      </c>
      <c r="C280" s="15" t="s">
        <v>783</v>
      </c>
      <c r="D280" s="93" t="s">
        <v>28</v>
      </c>
      <c r="E280" s="94" t="s">
        <v>28</v>
      </c>
      <c r="F280" s="68" t="s">
        <v>784</v>
      </c>
      <c r="G280" s="107" t="s">
        <v>89</v>
      </c>
      <c r="H280" s="38"/>
      <c r="I280" s="55">
        <v>1000000</v>
      </c>
      <c r="J280" s="68" t="s">
        <v>780</v>
      </c>
      <c r="K280" s="15"/>
      <c r="L280" s="54"/>
      <c r="M280" s="38"/>
      <c r="N280" s="115"/>
      <c r="O280" s="115"/>
      <c r="P280" s="102"/>
      <c r="Q280" s="102"/>
      <c r="R280" s="115">
        <v>1</v>
      </c>
      <c r="S280" s="116"/>
      <c r="T280" s="97"/>
      <c r="U280" s="97"/>
      <c r="V280" s="97"/>
      <c r="W280" s="116"/>
      <c r="X280" s="99"/>
      <c r="Y280" s="100"/>
    </row>
    <row r="281" spans="1:25" ht="45">
      <c r="A281" s="91">
        <v>278</v>
      </c>
      <c r="B281" s="110" t="s">
        <v>785</v>
      </c>
      <c r="C281" s="15" t="s">
        <v>786</v>
      </c>
      <c r="D281" s="93" t="s">
        <v>28</v>
      </c>
      <c r="E281" s="94" t="s">
        <v>28</v>
      </c>
      <c r="F281" s="68" t="s">
        <v>787</v>
      </c>
      <c r="G281" s="117" t="s">
        <v>89</v>
      </c>
      <c r="H281" s="38"/>
      <c r="I281" s="55">
        <v>1000000</v>
      </c>
      <c r="J281" s="68" t="s">
        <v>780</v>
      </c>
      <c r="K281" s="15"/>
      <c r="L281" s="54"/>
      <c r="M281" s="38"/>
      <c r="N281" s="115">
        <v>1</v>
      </c>
      <c r="O281" s="118"/>
      <c r="P281" s="102"/>
      <c r="Q281" s="102"/>
      <c r="R281" s="115"/>
      <c r="S281" s="116"/>
      <c r="T281" s="97"/>
      <c r="U281" s="97"/>
      <c r="V281" s="97"/>
      <c r="W281" s="116"/>
      <c r="X281" s="99"/>
      <c r="Y281" s="100"/>
    </row>
    <row r="282" spans="1:25" ht="42.75">
      <c r="A282" s="91">
        <v>279</v>
      </c>
      <c r="B282" s="110" t="s">
        <v>788</v>
      </c>
      <c r="C282" s="15" t="s">
        <v>789</v>
      </c>
      <c r="D282" s="93" t="s">
        <v>28</v>
      </c>
      <c r="E282" s="94" t="s">
        <v>28</v>
      </c>
      <c r="F282" s="68" t="s">
        <v>255</v>
      </c>
      <c r="G282" s="107" t="s">
        <v>89</v>
      </c>
      <c r="H282" s="38"/>
      <c r="I282" s="114">
        <v>500000</v>
      </c>
      <c r="J282" s="68" t="s">
        <v>780</v>
      </c>
      <c r="K282" s="15"/>
      <c r="L282" s="54"/>
      <c r="M282" s="38"/>
      <c r="N282" s="115">
        <v>1</v>
      </c>
      <c r="O282" s="115"/>
      <c r="P282" s="102"/>
      <c r="Q282" s="102"/>
      <c r="R282" s="115"/>
      <c r="S282" s="116"/>
      <c r="T282" s="97"/>
      <c r="U282" s="97"/>
      <c r="V282" s="97"/>
      <c r="W282" s="116"/>
      <c r="X282" s="99"/>
      <c r="Y282" s="100"/>
    </row>
    <row r="283" spans="1:25" ht="45">
      <c r="A283" s="91">
        <v>280</v>
      </c>
      <c r="B283" s="110" t="s">
        <v>790</v>
      </c>
      <c r="C283" s="15" t="s">
        <v>791</v>
      </c>
      <c r="D283" s="93" t="s">
        <v>28</v>
      </c>
      <c r="E283" s="94" t="s">
        <v>28</v>
      </c>
      <c r="F283" s="68" t="s">
        <v>792</v>
      </c>
      <c r="G283" s="107" t="s">
        <v>89</v>
      </c>
      <c r="H283" s="38"/>
      <c r="I283" s="114">
        <v>950000</v>
      </c>
      <c r="J283" s="68" t="s">
        <v>780</v>
      </c>
      <c r="K283" s="15"/>
      <c r="L283" s="54"/>
      <c r="M283" s="38"/>
      <c r="N283" s="115"/>
      <c r="O283" s="115"/>
      <c r="P283" s="102"/>
      <c r="Q283" s="102"/>
      <c r="R283" s="115">
        <v>1</v>
      </c>
      <c r="S283" s="116"/>
      <c r="T283" s="99"/>
      <c r="U283" s="99"/>
      <c r="V283" s="99"/>
      <c r="W283" s="116"/>
      <c r="X283" s="99"/>
      <c r="Y283" s="100"/>
    </row>
    <row r="284" spans="1:25" ht="30">
      <c r="A284" s="91">
        <v>281</v>
      </c>
      <c r="B284" s="110" t="s">
        <v>793</v>
      </c>
      <c r="C284" s="15" t="s">
        <v>794</v>
      </c>
      <c r="D284" s="93" t="s">
        <v>28</v>
      </c>
      <c r="E284" s="94" t="s">
        <v>28</v>
      </c>
      <c r="F284" s="68" t="s">
        <v>795</v>
      </c>
      <c r="G284" s="107" t="s">
        <v>89</v>
      </c>
      <c r="H284" s="38"/>
      <c r="I284" s="114">
        <v>250000</v>
      </c>
      <c r="J284" s="68" t="s">
        <v>780</v>
      </c>
      <c r="K284" s="15"/>
      <c r="L284" s="54"/>
      <c r="M284" s="38"/>
      <c r="N284" s="115"/>
      <c r="O284" s="115">
        <v>1</v>
      </c>
      <c r="P284" s="102"/>
      <c r="Q284" s="102"/>
      <c r="R284" s="115"/>
      <c r="S284" s="116"/>
      <c r="T284" s="97"/>
      <c r="U284" s="97"/>
      <c r="V284" s="97"/>
      <c r="W284" s="116"/>
      <c r="X284" s="99"/>
      <c r="Y284" s="100"/>
    </row>
    <row r="285" spans="1:25" ht="30">
      <c r="A285" s="91">
        <v>282</v>
      </c>
      <c r="B285" s="110" t="s">
        <v>796</v>
      </c>
      <c r="C285" s="15" t="s">
        <v>797</v>
      </c>
      <c r="D285" s="93" t="s">
        <v>28</v>
      </c>
      <c r="E285" s="94" t="s">
        <v>28</v>
      </c>
      <c r="F285" s="68" t="s">
        <v>798</v>
      </c>
      <c r="G285" s="107" t="s">
        <v>89</v>
      </c>
      <c r="H285" s="38"/>
      <c r="I285" s="114">
        <v>250000</v>
      </c>
      <c r="J285" s="68" t="s">
        <v>780</v>
      </c>
      <c r="K285" s="15"/>
      <c r="L285" s="54"/>
      <c r="M285" s="38"/>
      <c r="N285" s="115"/>
      <c r="O285" s="115">
        <v>1</v>
      </c>
      <c r="P285" s="102"/>
      <c r="Q285" s="102"/>
      <c r="R285" s="115"/>
      <c r="S285" s="116"/>
      <c r="T285" s="99"/>
      <c r="U285" s="99"/>
      <c r="V285" s="99"/>
      <c r="W285" s="116"/>
      <c r="X285" s="99"/>
      <c r="Y285" s="100"/>
    </row>
    <row r="286" spans="1:25" ht="60">
      <c r="A286" s="91">
        <v>283</v>
      </c>
      <c r="B286" s="110" t="s">
        <v>799</v>
      </c>
      <c r="C286" s="15" t="s">
        <v>800</v>
      </c>
      <c r="D286" s="93" t="s">
        <v>28</v>
      </c>
      <c r="E286" s="94" t="s">
        <v>28</v>
      </c>
      <c r="F286" s="68" t="s">
        <v>795</v>
      </c>
      <c r="G286" s="107" t="s">
        <v>89</v>
      </c>
      <c r="H286" s="38"/>
      <c r="I286" s="114">
        <v>250000</v>
      </c>
      <c r="J286" s="68" t="s">
        <v>780</v>
      </c>
      <c r="K286" s="68" t="s">
        <v>801</v>
      </c>
      <c r="L286" s="54"/>
      <c r="M286" s="38"/>
      <c r="N286" s="115" t="s">
        <v>107</v>
      </c>
      <c r="O286" s="115"/>
      <c r="P286" s="115"/>
      <c r="Q286" s="115"/>
      <c r="R286" s="115">
        <v>1</v>
      </c>
      <c r="S286" s="116"/>
      <c r="T286" s="99"/>
      <c r="U286" s="99"/>
      <c r="V286" s="99"/>
      <c r="W286" s="116"/>
      <c r="X286" s="99"/>
      <c r="Y286" s="100"/>
    </row>
    <row r="287" spans="1:25" ht="45.75" thickBot="1">
      <c r="A287" s="91">
        <v>284</v>
      </c>
      <c r="B287" s="110" t="s">
        <v>802</v>
      </c>
      <c r="C287" s="111" t="s">
        <v>803</v>
      </c>
      <c r="D287" s="93" t="s">
        <v>28</v>
      </c>
      <c r="E287" s="94" t="s">
        <v>28</v>
      </c>
      <c r="F287" s="68" t="s">
        <v>804</v>
      </c>
      <c r="G287" s="107" t="s">
        <v>89</v>
      </c>
      <c r="H287" s="38"/>
      <c r="I287" s="114">
        <v>500000</v>
      </c>
      <c r="J287" s="96" t="s">
        <v>31</v>
      </c>
      <c r="K287" s="36" t="s">
        <v>107</v>
      </c>
      <c r="L287" s="54"/>
      <c r="M287" s="38"/>
      <c r="N287" s="115"/>
      <c r="O287" s="115"/>
      <c r="P287" s="102"/>
      <c r="Q287" s="102"/>
      <c r="R287" s="115">
        <v>1</v>
      </c>
      <c r="S287" s="116"/>
      <c r="T287" s="97"/>
      <c r="U287" s="97"/>
      <c r="V287" s="97"/>
      <c r="W287" s="116"/>
      <c r="X287" s="99"/>
      <c r="Y287" s="100"/>
    </row>
    <row r="288" spans="1:25" ht="45.75" thickBot="1">
      <c r="A288" s="91">
        <v>285</v>
      </c>
      <c r="B288" s="110" t="s">
        <v>805</v>
      </c>
      <c r="C288" s="111" t="s">
        <v>806</v>
      </c>
      <c r="D288" s="93" t="s">
        <v>28</v>
      </c>
      <c r="E288" s="94" t="s">
        <v>28</v>
      </c>
      <c r="F288" s="254" t="s">
        <v>582</v>
      </c>
      <c r="G288" s="107" t="s">
        <v>89</v>
      </c>
      <c r="H288" s="33" t="s">
        <v>807</v>
      </c>
      <c r="I288" s="114">
        <v>500000</v>
      </c>
      <c r="J288" s="96" t="s">
        <v>31</v>
      </c>
      <c r="K288" s="68" t="s">
        <v>808</v>
      </c>
      <c r="L288" s="54">
        <v>485000</v>
      </c>
      <c r="M288" s="194">
        <f t="shared" ref="M288:M289" si="40">L288/(I288-I288*3%)</f>
        <v>1</v>
      </c>
      <c r="N288" s="233" t="s">
        <v>107</v>
      </c>
      <c r="O288" s="233" t="s">
        <v>107</v>
      </c>
      <c r="P288" s="233" t="s">
        <v>107</v>
      </c>
      <c r="Q288" s="233" t="s">
        <v>107</v>
      </c>
      <c r="R288" s="233" t="s">
        <v>107</v>
      </c>
      <c r="S288" s="233" t="s">
        <v>107</v>
      </c>
      <c r="T288" s="233" t="s">
        <v>107</v>
      </c>
      <c r="U288" s="233">
        <f t="shared" ref="U288:V293" si="41">-U289</f>
        <v>0</v>
      </c>
      <c r="V288" s="233">
        <f t="shared" si="41"/>
        <v>0</v>
      </c>
      <c r="W288" s="234">
        <v>1</v>
      </c>
      <c r="X288" s="99"/>
      <c r="Y288" s="100"/>
    </row>
    <row r="289" spans="1:25" ht="60">
      <c r="A289" s="91">
        <v>286</v>
      </c>
      <c r="B289" s="110" t="s">
        <v>809</v>
      </c>
      <c r="C289" s="15" t="s">
        <v>810</v>
      </c>
      <c r="D289" s="93" t="s">
        <v>28</v>
      </c>
      <c r="E289" s="94" t="s">
        <v>28</v>
      </c>
      <c r="F289" s="68" t="s">
        <v>811</v>
      </c>
      <c r="G289" s="107" t="s">
        <v>30</v>
      </c>
      <c r="H289" s="38">
        <f>0.3048*335</f>
        <v>102.108</v>
      </c>
      <c r="I289" s="55">
        <v>1000000</v>
      </c>
      <c r="J289" s="96" t="s">
        <v>31</v>
      </c>
      <c r="K289" s="68" t="s">
        <v>147</v>
      </c>
      <c r="L289" s="54">
        <v>970000</v>
      </c>
      <c r="M289" s="194">
        <f t="shared" si="40"/>
        <v>1</v>
      </c>
      <c r="N289" s="233" t="s">
        <v>107</v>
      </c>
      <c r="O289" s="233" t="s">
        <v>107</v>
      </c>
      <c r="P289" s="233" t="s">
        <v>107</v>
      </c>
      <c r="Q289" s="233" t="s">
        <v>107</v>
      </c>
      <c r="R289" s="233" t="s">
        <v>107</v>
      </c>
      <c r="S289" s="233" t="s">
        <v>107</v>
      </c>
      <c r="T289" s="233" t="s">
        <v>107</v>
      </c>
      <c r="U289" s="233">
        <f t="shared" si="41"/>
        <v>0</v>
      </c>
      <c r="V289" s="233">
        <f t="shared" si="41"/>
        <v>0</v>
      </c>
      <c r="W289" s="234">
        <v>1</v>
      </c>
      <c r="X289" s="99"/>
      <c r="Y289" s="100"/>
    </row>
    <row r="290" spans="1:25" ht="30">
      <c r="A290" s="91">
        <v>287</v>
      </c>
      <c r="B290" s="110" t="s">
        <v>812</v>
      </c>
      <c r="C290" s="15" t="s">
        <v>813</v>
      </c>
      <c r="D290" s="93" t="s">
        <v>28</v>
      </c>
      <c r="E290" s="94" t="s">
        <v>28</v>
      </c>
      <c r="F290" s="68" t="s">
        <v>814</v>
      </c>
      <c r="G290" s="107" t="s">
        <v>30</v>
      </c>
      <c r="H290" s="38"/>
      <c r="I290" s="114">
        <v>500000</v>
      </c>
      <c r="J290" s="96" t="s">
        <v>31</v>
      </c>
      <c r="K290" s="15"/>
      <c r="L290" s="54"/>
      <c r="M290" s="38"/>
      <c r="N290" s="115" t="s">
        <v>107</v>
      </c>
      <c r="O290" s="115" t="s">
        <v>107</v>
      </c>
      <c r="P290" s="115" t="s">
        <v>107</v>
      </c>
      <c r="Q290" s="115" t="s">
        <v>107</v>
      </c>
      <c r="R290" s="115" t="s">
        <v>107</v>
      </c>
      <c r="S290" s="118">
        <v>1</v>
      </c>
      <c r="T290" s="99"/>
      <c r="U290" s="99"/>
      <c r="V290" s="99"/>
      <c r="W290" s="116"/>
      <c r="X290" s="99"/>
      <c r="Y290" s="100"/>
    </row>
    <row r="291" spans="1:25" s="51" customFormat="1" ht="30">
      <c r="A291" s="39" t="s">
        <v>815</v>
      </c>
      <c r="B291" s="40" t="s">
        <v>816</v>
      </c>
      <c r="C291" s="18" t="s">
        <v>817</v>
      </c>
      <c r="D291" s="41" t="s">
        <v>28</v>
      </c>
      <c r="E291" s="42" t="s">
        <v>28</v>
      </c>
      <c r="F291" s="18" t="s">
        <v>455</v>
      </c>
      <c r="G291" s="43" t="s">
        <v>30</v>
      </c>
      <c r="H291" s="22"/>
      <c r="I291" s="65">
        <v>250000</v>
      </c>
      <c r="J291" s="21" t="s">
        <v>31</v>
      </c>
      <c r="K291" s="18"/>
      <c r="L291" s="53"/>
      <c r="M291" s="22"/>
      <c r="N291" s="115" t="s">
        <v>107</v>
      </c>
      <c r="O291" s="115" t="s">
        <v>107</v>
      </c>
      <c r="P291" s="115" t="s">
        <v>107</v>
      </c>
      <c r="Q291" s="115" t="s">
        <v>107</v>
      </c>
      <c r="R291" s="115" t="s">
        <v>107</v>
      </c>
      <c r="S291" s="233" t="s">
        <v>107</v>
      </c>
      <c r="T291" s="233" t="s">
        <v>107</v>
      </c>
      <c r="U291" s="233">
        <f t="shared" si="41"/>
        <v>0</v>
      </c>
      <c r="V291" s="233">
        <f t="shared" si="41"/>
        <v>0</v>
      </c>
      <c r="W291" s="234">
        <v>1</v>
      </c>
      <c r="X291" s="49"/>
      <c r="Y291" s="50"/>
    </row>
    <row r="292" spans="1:25" ht="60">
      <c r="A292" s="91">
        <v>289</v>
      </c>
      <c r="B292" s="110" t="s">
        <v>818</v>
      </c>
      <c r="C292" s="15" t="s">
        <v>819</v>
      </c>
      <c r="D292" s="93" t="s">
        <v>28</v>
      </c>
      <c r="E292" s="94" t="s">
        <v>28</v>
      </c>
      <c r="F292" s="68" t="s">
        <v>820</v>
      </c>
      <c r="G292" s="107" t="s">
        <v>30</v>
      </c>
      <c r="H292" s="33">
        <f>0.3048*295</f>
        <v>89.916000000000011</v>
      </c>
      <c r="I292" s="114">
        <v>500000</v>
      </c>
      <c r="J292" s="96" t="s">
        <v>31</v>
      </c>
      <c r="K292" s="68" t="s">
        <v>821</v>
      </c>
      <c r="L292" s="54"/>
      <c r="M292" s="38"/>
      <c r="N292" s="115" t="s">
        <v>107</v>
      </c>
      <c r="O292" s="115" t="s">
        <v>107</v>
      </c>
      <c r="P292" s="115" t="s">
        <v>107</v>
      </c>
      <c r="Q292" s="115" t="s">
        <v>107</v>
      </c>
      <c r="R292" s="115" t="s">
        <v>107</v>
      </c>
      <c r="S292" s="233" t="s">
        <v>107</v>
      </c>
      <c r="T292" s="233" t="s">
        <v>107</v>
      </c>
      <c r="U292" s="233">
        <f t="shared" si="41"/>
        <v>0</v>
      </c>
      <c r="V292" s="233">
        <f t="shared" si="41"/>
        <v>0</v>
      </c>
      <c r="W292" s="234">
        <v>2</v>
      </c>
      <c r="X292" s="99"/>
      <c r="Y292" s="100"/>
    </row>
    <row r="293" spans="1:25" ht="30">
      <c r="A293" s="91">
        <v>290</v>
      </c>
      <c r="B293" s="110" t="s">
        <v>822</v>
      </c>
      <c r="C293" s="15" t="s">
        <v>823</v>
      </c>
      <c r="D293" s="93" t="s">
        <v>28</v>
      </c>
      <c r="E293" s="94" t="s">
        <v>28</v>
      </c>
      <c r="F293" s="68" t="s">
        <v>222</v>
      </c>
      <c r="G293" s="107" t="s">
        <v>30</v>
      </c>
      <c r="H293" s="33">
        <f>0.3048*(140+140)</f>
        <v>85.344000000000008</v>
      </c>
      <c r="I293" s="114">
        <v>150000</v>
      </c>
      <c r="J293" s="96" t="s">
        <v>31</v>
      </c>
      <c r="K293" s="68" t="s">
        <v>406</v>
      </c>
      <c r="L293" s="54">
        <v>291000</v>
      </c>
      <c r="M293" s="194">
        <f>L293/(I293-I293*3%)</f>
        <v>2</v>
      </c>
      <c r="N293" s="115" t="s">
        <v>107</v>
      </c>
      <c r="O293" s="115" t="s">
        <v>107</v>
      </c>
      <c r="P293" s="115" t="s">
        <v>107</v>
      </c>
      <c r="Q293" s="115" t="s">
        <v>107</v>
      </c>
      <c r="R293" s="115" t="s">
        <v>107</v>
      </c>
      <c r="S293" s="233" t="s">
        <v>107</v>
      </c>
      <c r="T293" s="233" t="s">
        <v>107</v>
      </c>
      <c r="U293" s="233">
        <f t="shared" si="41"/>
        <v>0</v>
      </c>
      <c r="V293" s="233">
        <f t="shared" si="41"/>
        <v>0</v>
      </c>
      <c r="W293" s="234">
        <v>1</v>
      </c>
      <c r="X293" s="99"/>
      <c r="Y293" s="100"/>
    </row>
    <row r="294" spans="1:25" ht="30">
      <c r="A294" s="91">
        <v>291</v>
      </c>
      <c r="B294" s="110" t="s">
        <v>824</v>
      </c>
      <c r="C294" s="15" t="s">
        <v>825</v>
      </c>
      <c r="D294" s="93" t="s">
        <v>28</v>
      </c>
      <c r="E294" s="94" t="s">
        <v>28</v>
      </c>
      <c r="F294" s="68" t="s">
        <v>222</v>
      </c>
      <c r="G294" s="107" t="s">
        <v>30</v>
      </c>
      <c r="H294" s="33">
        <f>0.3048*(160+14)</f>
        <v>53.035200000000003</v>
      </c>
      <c r="I294" s="114">
        <v>350000</v>
      </c>
      <c r="J294" s="96" t="s">
        <v>31</v>
      </c>
      <c r="K294" s="15"/>
      <c r="L294" s="54"/>
      <c r="M294" s="38"/>
      <c r="N294" s="115" t="s">
        <v>107</v>
      </c>
      <c r="O294" s="115" t="s">
        <v>107</v>
      </c>
      <c r="P294" s="115" t="s">
        <v>107</v>
      </c>
      <c r="Q294" s="115" t="s">
        <v>107</v>
      </c>
      <c r="R294" s="115" t="s">
        <v>107</v>
      </c>
      <c r="S294" s="115">
        <v>1</v>
      </c>
      <c r="T294" s="99"/>
      <c r="U294" s="99"/>
      <c r="V294" s="99"/>
      <c r="W294" s="116"/>
      <c r="X294" s="99">
        <v>12</v>
      </c>
      <c r="Y294" s="100"/>
    </row>
    <row r="295" spans="1:25" ht="45">
      <c r="A295" s="91">
        <v>292</v>
      </c>
      <c r="B295" s="110" t="s">
        <v>826</v>
      </c>
      <c r="C295" s="15" t="s">
        <v>827</v>
      </c>
      <c r="D295" s="93" t="s">
        <v>28</v>
      </c>
      <c r="E295" s="94" t="s">
        <v>28</v>
      </c>
      <c r="F295" s="244" t="s">
        <v>828</v>
      </c>
      <c r="G295" s="107" t="s">
        <v>30</v>
      </c>
      <c r="H295" s="38"/>
      <c r="I295" s="114">
        <v>300000</v>
      </c>
      <c r="J295" s="96" t="s">
        <v>31</v>
      </c>
      <c r="K295" s="15"/>
      <c r="L295" s="54"/>
      <c r="M295" s="38"/>
      <c r="N295" s="115" t="s">
        <v>107</v>
      </c>
      <c r="O295" s="115"/>
      <c r="P295" s="102"/>
      <c r="Q295" s="102"/>
      <c r="R295" s="115">
        <v>1</v>
      </c>
      <c r="S295" s="116"/>
      <c r="T295" s="99"/>
      <c r="U295" s="99"/>
      <c r="V295" s="99"/>
      <c r="W295" s="116"/>
      <c r="X295" s="99"/>
      <c r="Y295" s="100"/>
    </row>
    <row r="296" spans="1:25" ht="45">
      <c r="A296" s="91">
        <v>293</v>
      </c>
      <c r="B296" s="110" t="s">
        <v>829</v>
      </c>
      <c r="C296" s="15" t="s">
        <v>830</v>
      </c>
      <c r="D296" s="93" t="s">
        <v>28</v>
      </c>
      <c r="E296" s="94" t="s">
        <v>28</v>
      </c>
      <c r="F296" s="68" t="s">
        <v>831</v>
      </c>
      <c r="G296" s="107" t="s">
        <v>30</v>
      </c>
      <c r="H296" s="38"/>
      <c r="I296" s="55">
        <v>650000</v>
      </c>
      <c r="J296" s="96" t="s">
        <v>31</v>
      </c>
      <c r="K296" s="15"/>
      <c r="L296" s="54"/>
      <c r="M296" s="38"/>
      <c r="N296" s="115" t="s">
        <v>107</v>
      </c>
      <c r="O296" s="115"/>
      <c r="P296" s="102"/>
      <c r="Q296" s="102"/>
      <c r="R296" s="115">
        <v>1</v>
      </c>
      <c r="S296" s="116"/>
      <c r="T296" s="99"/>
      <c r="U296" s="99"/>
      <c r="V296" s="99"/>
      <c r="W296" s="116"/>
      <c r="X296" s="99"/>
      <c r="Y296" s="100"/>
    </row>
    <row r="297" spans="1:25" s="51" customFormat="1" ht="30">
      <c r="A297" s="39" t="s">
        <v>832</v>
      </c>
      <c r="B297" s="40" t="s">
        <v>833</v>
      </c>
      <c r="C297" s="18" t="s">
        <v>834</v>
      </c>
      <c r="D297" s="41" t="s">
        <v>28</v>
      </c>
      <c r="E297" s="42" t="s">
        <v>28</v>
      </c>
      <c r="F297" s="18"/>
      <c r="G297" s="43" t="s">
        <v>102</v>
      </c>
      <c r="H297" s="22"/>
      <c r="I297" s="65">
        <v>2000000</v>
      </c>
      <c r="J297" s="21" t="s">
        <v>31</v>
      </c>
      <c r="K297" s="18"/>
      <c r="L297" s="53"/>
      <c r="M297" s="22"/>
      <c r="N297" s="47">
        <v>1</v>
      </c>
      <c r="O297" s="47"/>
      <c r="P297" s="52"/>
      <c r="Q297" s="52"/>
      <c r="R297" s="47"/>
      <c r="S297" s="48"/>
      <c r="T297" s="46"/>
      <c r="U297" s="46"/>
      <c r="V297" s="46"/>
      <c r="W297" s="48"/>
      <c r="X297" s="49"/>
      <c r="Y297" s="50"/>
    </row>
    <row r="298" spans="1:25" ht="30">
      <c r="A298" s="91">
        <v>295</v>
      </c>
      <c r="B298" s="110" t="s">
        <v>835</v>
      </c>
      <c r="C298" s="15" t="s">
        <v>836</v>
      </c>
      <c r="D298" s="93" t="s">
        <v>28</v>
      </c>
      <c r="E298" s="94" t="s">
        <v>28</v>
      </c>
      <c r="F298" s="68" t="s">
        <v>831</v>
      </c>
      <c r="G298" s="107" t="s">
        <v>30</v>
      </c>
      <c r="H298" s="38"/>
      <c r="I298" s="114">
        <v>300000</v>
      </c>
      <c r="J298" s="96" t="s">
        <v>31</v>
      </c>
      <c r="K298" s="15"/>
      <c r="L298" s="54"/>
      <c r="M298" s="38"/>
      <c r="N298" s="115" t="s">
        <v>107</v>
      </c>
      <c r="O298" s="115" t="s">
        <v>107</v>
      </c>
      <c r="P298" s="115" t="s">
        <v>107</v>
      </c>
      <c r="Q298" s="115" t="s">
        <v>107</v>
      </c>
      <c r="R298" s="115" t="s">
        <v>107</v>
      </c>
      <c r="S298" s="115">
        <v>1</v>
      </c>
      <c r="T298" s="99"/>
      <c r="U298" s="99"/>
      <c r="V298" s="99"/>
      <c r="W298" s="116"/>
      <c r="X298" s="99"/>
      <c r="Y298" s="100"/>
    </row>
    <row r="299" spans="1:25" ht="60">
      <c r="A299" s="91">
        <v>296</v>
      </c>
      <c r="B299" s="110" t="s">
        <v>837</v>
      </c>
      <c r="C299" s="15" t="s">
        <v>838</v>
      </c>
      <c r="D299" s="93" t="s">
        <v>28</v>
      </c>
      <c r="E299" s="94" t="s">
        <v>28</v>
      </c>
      <c r="F299" s="68" t="s">
        <v>831</v>
      </c>
      <c r="G299" s="107" t="s">
        <v>30</v>
      </c>
      <c r="H299" s="33">
        <f>0.3048*(213+78+15)</f>
        <v>93.268799999999999</v>
      </c>
      <c r="I299" s="114">
        <v>750000</v>
      </c>
      <c r="J299" s="96" t="s">
        <v>31</v>
      </c>
      <c r="K299" s="68" t="s">
        <v>240</v>
      </c>
      <c r="L299" s="54">
        <v>727500</v>
      </c>
      <c r="M299" s="38"/>
      <c r="N299" s="115" t="s">
        <v>107</v>
      </c>
      <c r="O299" s="115" t="s">
        <v>107</v>
      </c>
      <c r="P299" s="115" t="s">
        <v>107</v>
      </c>
      <c r="Q299" s="115" t="s">
        <v>107</v>
      </c>
      <c r="R299" s="115" t="s">
        <v>107</v>
      </c>
      <c r="S299" s="115" t="s">
        <v>107</v>
      </c>
      <c r="T299" s="115" t="s">
        <v>107</v>
      </c>
      <c r="U299" s="115" t="s">
        <v>107</v>
      </c>
      <c r="V299" s="115" t="s">
        <v>107</v>
      </c>
      <c r="W299" s="234">
        <v>1</v>
      </c>
      <c r="X299" s="99"/>
      <c r="Y299" s="100"/>
    </row>
    <row r="300" spans="1:25" s="51" customFormat="1" ht="30">
      <c r="A300" s="39" t="s">
        <v>839</v>
      </c>
      <c r="B300" s="40" t="s">
        <v>840</v>
      </c>
      <c r="C300" s="18" t="s">
        <v>841</v>
      </c>
      <c r="D300" s="41" t="s">
        <v>28</v>
      </c>
      <c r="E300" s="42" t="s">
        <v>28</v>
      </c>
      <c r="F300" s="18" t="s">
        <v>531</v>
      </c>
      <c r="G300" s="43" t="s">
        <v>30</v>
      </c>
      <c r="H300" s="22"/>
      <c r="I300" s="65">
        <v>250000</v>
      </c>
      <c r="J300" s="21" t="s">
        <v>31</v>
      </c>
      <c r="K300" s="18"/>
      <c r="L300" s="53"/>
      <c r="M300" s="22"/>
      <c r="N300" s="47"/>
      <c r="O300" s="47">
        <v>1</v>
      </c>
      <c r="P300" s="52"/>
      <c r="Q300" s="52"/>
      <c r="R300" s="47"/>
      <c r="S300" s="48"/>
      <c r="T300" s="46"/>
      <c r="U300" s="46"/>
      <c r="V300" s="46"/>
      <c r="W300" s="48"/>
      <c r="X300" s="49"/>
      <c r="Y300" s="50"/>
    </row>
    <row r="301" spans="1:25" ht="60">
      <c r="A301" s="91">
        <v>298</v>
      </c>
      <c r="B301" s="110" t="s">
        <v>842</v>
      </c>
      <c r="C301" s="69" t="s">
        <v>843</v>
      </c>
      <c r="D301" s="93" t="s">
        <v>28</v>
      </c>
      <c r="E301" s="94" t="s">
        <v>28</v>
      </c>
      <c r="F301" s="36" t="s">
        <v>844</v>
      </c>
      <c r="G301" s="107" t="s">
        <v>30</v>
      </c>
      <c r="H301" s="68">
        <f>0.3048*(35+25+22)</f>
        <v>24.993600000000001</v>
      </c>
      <c r="I301" s="114">
        <v>500000</v>
      </c>
      <c r="J301" s="96" t="s">
        <v>31</v>
      </c>
      <c r="K301" s="68" t="s">
        <v>252</v>
      </c>
      <c r="L301" s="54"/>
      <c r="M301" s="38"/>
      <c r="N301" s="115" t="s">
        <v>107</v>
      </c>
      <c r="O301" s="115" t="s">
        <v>107</v>
      </c>
      <c r="P301" s="115" t="s">
        <v>107</v>
      </c>
      <c r="Q301" s="115" t="s">
        <v>107</v>
      </c>
      <c r="R301" s="115" t="s">
        <v>107</v>
      </c>
      <c r="S301" s="115" t="s">
        <v>107</v>
      </c>
      <c r="T301" s="115" t="s">
        <v>107</v>
      </c>
      <c r="U301" s="115" t="s">
        <v>107</v>
      </c>
      <c r="V301" s="115" t="s">
        <v>107</v>
      </c>
      <c r="W301" s="234">
        <v>1</v>
      </c>
      <c r="X301" s="99"/>
      <c r="Y301" s="100"/>
    </row>
    <row r="302" spans="1:25" ht="45" customHeight="1">
      <c r="A302" s="91">
        <v>299</v>
      </c>
      <c r="B302" s="110" t="s">
        <v>845</v>
      </c>
      <c r="C302" s="15" t="s">
        <v>846</v>
      </c>
      <c r="D302" s="93" t="s">
        <v>28</v>
      </c>
      <c r="E302" s="94" t="s">
        <v>28</v>
      </c>
      <c r="F302" s="244" t="s">
        <v>314</v>
      </c>
      <c r="G302" s="107" t="s">
        <v>30</v>
      </c>
      <c r="H302" s="38"/>
      <c r="I302" s="114">
        <v>575000</v>
      </c>
      <c r="J302" s="96" t="s">
        <v>31</v>
      </c>
      <c r="K302" s="15"/>
      <c r="L302" s="54"/>
      <c r="M302" s="38"/>
      <c r="N302" s="115">
        <v>1</v>
      </c>
      <c r="O302" s="118"/>
      <c r="P302" s="102"/>
      <c r="Q302" s="102"/>
      <c r="R302" s="115"/>
      <c r="S302" s="116"/>
      <c r="T302" s="97"/>
      <c r="U302" s="97"/>
      <c r="V302" s="97"/>
      <c r="W302" s="116"/>
      <c r="X302" s="99"/>
      <c r="Y302" s="100"/>
    </row>
    <row r="303" spans="1:25" ht="45">
      <c r="A303" s="91">
        <v>300</v>
      </c>
      <c r="B303" s="110" t="s">
        <v>847</v>
      </c>
      <c r="C303" s="15" t="s">
        <v>848</v>
      </c>
      <c r="D303" s="93" t="s">
        <v>28</v>
      </c>
      <c r="E303" s="94" t="s">
        <v>28</v>
      </c>
      <c r="F303" s="244" t="s">
        <v>314</v>
      </c>
      <c r="G303" s="107" t="s">
        <v>30</v>
      </c>
      <c r="H303" s="38"/>
      <c r="I303" s="114">
        <v>300000</v>
      </c>
      <c r="J303" s="96" t="s">
        <v>31</v>
      </c>
      <c r="K303" s="15"/>
      <c r="L303" s="54"/>
      <c r="M303" s="38"/>
      <c r="N303" s="115" t="s">
        <v>107</v>
      </c>
      <c r="O303" s="118"/>
      <c r="P303" s="102"/>
      <c r="Q303" s="102"/>
      <c r="R303" s="115">
        <v>1</v>
      </c>
      <c r="S303" s="116"/>
      <c r="T303" s="99"/>
      <c r="U303" s="99"/>
      <c r="V303" s="99"/>
      <c r="W303" s="116"/>
      <c r="X303" s="99"/>
      <c r="Y303" s="100"/>
    </row>
    <row r="304" spans="1:25" ht="30">
      <c r="A304" s="91">
        <v>301</v>
      </c>
      <c r="B304" s="110" t="s">
        <v>849</v>
      </c>
      <c r="C304" s="15" t="s">
        <v>850</v>
      </c>
      <c r="D304" s="93" t="s">
        <v>28</v>
      </c>
      <c r="E304" s="94" t="s">
        <v>28</v>
      </c>
      <c r="F304" s="244" t="s">
        <v>314</v>
      </c>
      <c r="G304" s="107" t="s">
        <v>30</v>
      </c>
      <c r="H304" s="68">
        <f>0.3048*(107+3)</f>
        <v>33.527999999999999</v>
      </c>
      <c r="I304" s="114">
        <v>475000</v>
      </c>
      <c r="J304" s="96" t="s">
        <v>31</v>
      </c>
      <c r="K304" s="68" t="s">
        <v>851</v>
      </c>
      <c r="L304" s="54"/>
      <c r="M304" s="38"/>
      <c r="N304" s="115" t="s">
        <v>107</v>
      </c>
      <c r="O304" s="115" t="s">
        <v>107</v>
      </c>
      <c r="P304" s="115" t="s">
        <v>107</v>
      </c>
      <c r="Q304" s="115" t="s">
        <v>107</v>
      </c>
      <c r="R304" s="115" t="s">
        <v>107</v>
      </c>
      <c r="S304" s="115">
        <v>1</v>
      </c>
      <c r="T304" s="99"/>
      <c r="U304" s="99"/>
      <c r="V304" s="99"/>
      <c r="W304" s="116"/>
      <c r="X304" s="99">
        <v>65</v>
      </c>
      <c r="Y304" s="100"/>
    </row>
    <row r="305" spans="1:25" ht="45">
      <c r="A305" s="91">
        <v>302</v>
      </c>
      <c r="B305" s="110" t="s">
        <v>852</v>
      </c>
      <c r="C305" s="15" t="s">
        <v>853</v>
      </c>
      <c r="D305" s="93" t="s">
        <v>28</v>
      </c>
      <c r="E305" s="94" t="s">
        <v>28</v>
      </c>
      <c r="F305" s="68" t="s">
        <v>854</v>
      </c>
      <c r="G305" s="107" t="s">
        <v>30</v>
      </c>
      <c r="H305" s="38">
        <f>0.3048*161</f>
        <v>49.072800000000001</v>
      </c>
      <c r="I305" s="114">
        <v>950000</v>
      </c>
      <c r="J305" s="96" t="s">
        <v>31</v>
      </c>
      <c r="K305" s="68" t="s">
        <v>193</v>
      </c>
      <c r="L305" s="54">
        <v>921500</v>
      </c>
      <c r="M305" s="194">
        <f t="shared" ref="M305:M306" si="42">L305/(I305-I305*3%)</f>
        <v>1</v>
      </c>
      <c r="N305" s="233" t="s">
        <v>107</v>
      </c>
      <c r="O305" s="233" t="s">
        <v>107</v>
      </c>
      <c r="P305" s="233" t="s">
        <v>107</v>
      </c>
      <c r="Q305" s="233" t="s">
        <v>107</v>
      </c>
      <c r="R305" s="233" t="s">
        <v>107</v>
      </c>
      <c r="S305" s="233" t="s">
        <v>107</v>
      </c>
      <c r="T305" s="233" t="s">
        <v>107</v>
      </c>
      <c r="U305" s="233">
        <f t="shared" ref="U305:V306" si="43">-U306</f>
        <v>0</v>
      </c>
      <c r="V305" s="233">
        <f t="shared" si="43"/>
        <v>0</v>
      </c>
      <c r="W305" s="234">
        <v>1</v>
      </c>
      <c r="X305" s="99"/>
      <c r="Y305" s="100"/>
    </row>
    <row r="306" spans="1:25" ht="45">
      <c r="A306" s="91">
        <v>303</v>
      </c>
      <c r="B306" s="110" t="s">
        <v>855</v>
      </c>
      <c r="C306" s="15" t="s">
        <v>856</v>
      </c>
      <c r="D306" s="93" t="s">
        <v>28</v>
      </c>
      <c r="E306" s="94" t="s">
        <v>28</v>
      </c>
      <c r="F306" s="68" t="s">
        <v>854</v>
      </c>
      <c r="G306" s="107" t="s">
        <v>30</v>
      </c>
      <c r="H306" s="33">
        <f>0.3048*(300+17+20.9)</f>
        <v>102.99191999999999</v>
      </c>
      <c r="I306" s="114">
        <v>950000</v>
      </c>
      <c r="J306" s="96" t="s">
        <v>31</v>
      </c>
      <c r="K306" s="68" t="s">
        <v>193</v>
      </c>
      <c r="L306" s="54">
        <f>921500</f>
        <v>921500</v>
      </c>
      <c r="M306" s="194">
        <f t="shared" si="42"/>
        <v>1</v>
      </c>
      <c r="N306" s="233" t="s">
        <v>107</v>
      </c>
      <c r="O306" s="233" t="s">
        <v>107</v>
      </c>
      <c r="P306" s="233" t="s">
        <v>107</v>
      </c>
      <c r="Q306" s="233" t="s">
        <v>107</v>
      </c>
      <c r="R306" s="233" t="s">
        <v>107</v>
      </c>
      <c r="S306" s="233" t="s">
        <v>107</v>
      </c>
      <c r="T306" s="233" t="s">
        <v>107</v>
      </c>
      <c r="U306" s="233">
        <f t="shared" si="43"/>
        <v>0</v>
      </c>
      <c r="V306" s="233">
        <f t="shared" si="43"/>
        <v>0</v>
      </c>
      <c r="W306" s="234">
        <v>1</v>
      </c>
      <c r="X306" s="99"/>
      <c r="Y306" s="100"/>
    </row>
    <row r="307" spans="1:25" ht="27.75" customHeight="1">
      <c r="A307" s="91">
        <v>304</v>
      </c>
      <c r="B307" s="110" t="s">
        <v>857</v>
      </c>
      <c r="C307" s="69" t="s">
        <v>858</v>
      </c>
      <c r="D307" s="93" t="s">
        <v>28</v>
      </c>
      <c r="E307" s="94" t="s">
        <v>28</v>
      </c>
      <c r="F307" s="68" t="s">
        <v>859</v>
      </c>
      <c r="G307" s="107" t="s">
        <v>30</v>
      </c>
      <c r="H307" s="38"/>
      <c r="I307" s="55">
        <v>950000</v>
      </c>
      <c r="J307" s="96" t="s">
        <v>31</v>
      </c>
      <c r="K307" s="15"/>
      <c r="L307" s="54"/>
      <c r="M307" s="38"/>
      <c r="N307" s="233" t="s">
        <v>107</v>
      </c>
      <c r="O307" s="233" t="s">
        <v>107</v>
      </c>
      <c r="P307" s="233" t="s">
        <v>107</v>
      </c>
      <c r="Q307" s="233" t="s">
        <v>107</v>
      </c>
      <c r="R307" s="115">
        <v>1</v>
      </c>
      <c r="S307" s="116"/>
      <c r="T307" s="99"/>
      <c r="U307" s="99"/>
      <c r="V307" s="99"/>
      <c r="W307" s="116"/>
      <c r="X307" s="99"/>
      <c r="Y307" s="100"/>
    </row>
    <row r="308" spans="1:25" s="59" customFormat="1" ht="30.75" thickBot="1">
      <c r="A308" s="120">
        <v>305</v>
      </c>
      <c r="B308" s="121" t="s">
        <v>860</v>
      </c>
      <c r="C308" s="57" t="s">
        <v>861</v>
      </c>
      <c r="D308" s="122" t="s">
        <v>28</v>
      </c>
      <c r="E308" s="123" t="s">
        <v>28</v>
      </c>
      <c r="F308" s="57" t="s">
        <v>859</v>
      </c>
      <c r="G308" s="124" t="s">
        <v>30</v>
      </c>
      <c r="H308" s="58"/>
      <c r="I308" s="125">
        <v>450000</v>
      </c>
      <c r="J308" s="126" t="s">
        <v>31</v>
      </c>
      <c r="K308" s="57"/>
      <c r="L308" s="56"/>
      <c r="M308" s="58"/>
      <c r="N308" s="127">
        <v>1</v>
      </c>
      <c r="O308" s="127"/>
      <c r="P308" s="128"/>
      <c r="Q308" s="128"/>
      <c r="R308" s="127"/>
      <c r="S308" s="129"/>
      <c r="T308" s="130"/>
      <c r="U308" s="130"/>
      <c r="V308" s="130"/>
      <c r="W308" s="129"/>
      <c r="X308" s="60"/>
      <c r="Y308" s="61"/>
    </row>
    <row r="309" spans="1:25" ht="45" customHeight="1" thickBot="1">
      <c r="A309" s="91">
        <v>306</v>
      </c>
      <c r="B309" s="110" t="s">
        <v>862</v>
      </c>
      <c r="C309" s="111" t="s">
        <v>863</v>
      </c>
      <c r="D309" s="93" t="s">
        <v>28</v>
      </c>
      <c r="E309" s="94" t="s">
        <v>28</v>
      </c>
      <c r="F309" s="112" t="s">
        <v>405</v>
      </c>
      <c r="G309" s="107" t="s">
        <v>30</v>
      </c>
      <c r="H309" s="38">
        <f>0.3048*213</f>
        <v>64.92240000000001</v>
      </c>
      <c r="I309" s="114">
        <v>315000</v>
      </c>
      <c r="J309" s="96" t="s">
        <v>31</v>
      </c>
      <c r="K309" s="68" t="s">
        <v>406</v>
      </c>
      <c r="L309" s="54"/>
      <c r="M309" s="38"/>
      <c r="N309" s="115" t="s">
        <v>107</v>
      </c>
      <c r="O309" s="115" t="s">
        <v>107</v>
      </c>
      <c r="P309" s="115" t="s">
        <v>107</v>
      </c>
      <c r="Q309" s="115" t="s">
        <v>107</v>
      </c>
      <c r="R309" s="115" t="s">
        <v>107</v>
      </c>
      <c r="S309" s="115" t="s">
        <v>107</v>
      </c>
      <c r="T309" s="115" t="s">
        <v>107</v>
      </c>
      <c r="U309" s="115" t="s">
        <v>107</v>
      </c>
      <c r="V309" s="115" t="s">
        <v>107</v>
      </c>
      <c r="W309" s="234">
        <v>1</v>
      </c>
      <c r="X309" s="99"/>
      <c r="Y309" s="100"/>
    </row>
    <row r="310" spans="1:25" ht="46.5" customHeight="1" thickBot="1">
      <c r="A310" s="91">
        <v>307</v>
      </c>
      <c r="B310" s="110" t="s">
        <v>864</v>
      </c>
      <c r="C310" s="111" t="s">
        <v>865</v>
      </c>
      <c r="D310" s="93" t="s">
        <v>28</v>
      </c>
      <c r="E310" s="94" t="s">
        <v>28</v>
      </c>
      <c r="F310" s="284" t="s">
        <v>866</v>
      </c>
      <c r="G310" s="107" t="s">
        <v>30</v>
      </c>
      <c r="H310" s="38"/>
      <c r="I310" s="114">
        <v>340000</v>
      </c>
      <c r="J310" s="96" t="s">
        <v>31</v>
      </c>
      <c r="K310" s="15"/>
      <c r="L310" s="54"/>
      <c r="M310" s="38"/>
      <c r="N310" s="135" t="s">
        <v>107</v>
      </c>
      <c r="O310" s="135"/>
      <c r="P310" s="135" t="s">
        <v>107</v>
      </c>
      <c r="Q310" s="135" t="s">
        <v>107</v>
      </c>
      <c r="R310" s="115">
        <v>1</v>
      </c>
      <c r="S310" s="116"/>
      <c r="T310" s="99"/>
      <c r="U310" s="99"/>
      <c r="V310" s="99"/>
      <c r="W310" s="116"/>
      <c r="X310" s="99"/>
      <c r="Y310" s="100"/>
    </row>
    <row r="311" spans="1:25" s="59" customFormat="1" ht="30.75" thickBot="1">
      <c r="A311" s="120">
        <v>308</v>
      </c>
      <c r="B311" s="121" t="s">
        <v>867</v>
      </c>
      <c r="C311" s="57" t="s">
        <v>868</v>
      </c>
      <c r="D311" s="122" t="s">
        <v>28</v>
      </c>
      <c r="E311" s="123" t="s">
        <v>28</v>
      </c>
      <c r="F311" s="285" t="s">
        <v>866</v>
      </c>
      <c r="G311" s="124" t="s">
        <v>30</v>
      </c>
      <c r="H311" s="58"/>
      <c r="I311" s="125">
        <v>340000</v>
      </c>
      <c r="J311" s="126" t="s">
        <v>31</v>
      </c>
      <c r="K311" s="57"/>
      <c r="L311" s="56"/>
      <c r="M311" s="58"/>
      <c r="N311" s="127">
        <v>1</v>
      </c>
      <c r="O311" s="127"/>
      <c r="P311" s="128"/>
      <c r="Q311" s="128"/>
      <c r="R311" s="127"/>
      <c r="S311" s="129"/>
      <c r="T311" s="130"/>
      <c r="U311" s="130"/>
      <c r="V311" s="130"/>
      <c r="W311" s="129"/>
      <c r="X311" s="60"/>
      <c r="Y311" s="61"/>
    </row>
    <row r="312" spans="1:25" ht="45.75" thickBot="1">
      <c r="A312" s="91">
        <v>309</v>
      </c>
      <c r="B312" s="110" t="s">
        <v>869</v>
      </c>
      <c r="C312" s="111" t="s">
        <v>870</v>
      </c>
      <c r="D312" s="93" t="s">
        <v>28</v>
      </c>
      <c r="E312" s="94" t="s">
        <v>28</v>
      </c>
      <c r="F312" s="284" t="s">
        <v>866</v>
      </c>
      <c r="G312" s="107" t="s">
        <v>30</v>
      </c>
      <c r="H312" s="38">
        <f>0.3048*139</f>
        <v>42.367200000000004</v>
      </c>
      <c r="I312" s="114">
        <v>275000</v>
      </c>
      <c r="J312" s="96" t="s">
        <v>31</v>
      </c>
      <c r="K312" s="68" t="s">
        <v>406</v>
      </c>
      <c r="L312" s="54"/>
      <c r="M312" s="38"/>
      <c r="N312" s="115" t="s">
        <v>107</v>
      </c>
      <c r="O312" s="115" t="s">
        <v>107</v>
      </c>
      <c r="P312" s="115" t="s">
        <v>107</v>
      </c>
      <c r="Q312" s="115" t="s">
        <v>107</v>
      </c>
      <c r="R312" s="115" t="s">
        <v>107</v>
      </c>
      <c r="S312" s="115" t="s">
        <v>107</v>
      </c>
      <c r="T312" s="115" t="s">
        <v>107</v>
      </c>
      <c r="U312" s="115" t="s">
        <v>107</v>
      </c>
      <c r="V312" s="115" t="s">
        <v>107</v>
      </c>
      <c r="W312" s="234">
        <v>1</v>
      </c>
      <c r="X312" s="99"/>
      <c r="Y312" s="100"/>
    </row>
    <row r="313" spans="1:25" ht="30.75" thickBot="1">
      <c r="A313" s="91">
        <v>310</v>
      </c>
      <c r="B313" s="110" t="s">
        <v>871</v>
      </c>
      <c r="C313" s="111" t="s">
        <v>872</v>
      </c>
      <c r="D313" s="93" t="s">
        <v>28</v>
      </c>
      <c r="E313" s="94" t="s">
        <v>28</v>
      </c>
      <c r="F313" s="284" t="s">
        <v>866</v>
      </c>
      <c r="G313" s="107" t="s">
        <v>30</v>
      </c>
      <c r="H313" s="38"/>
      <c r="I313" s="114">
        <v>350000</v>
      </c>
      <c r="J313" s="96" t="s">
        <v>31</v>
      </c>
      <c r="K313" s="15"/>
      <c r="L313" s="54"/>
      <c r="M313" s="38"/>
      <c r="N313" s="115">
        <v>1</v>
      </c>
      <c r="O313" s="115"/>
      <c r="P313" s="102"/>
      <c r="Q313" s="102"/>
      <c r="R313" s="115"/>
      <c r="S313" s="116"/>
      <c r="T313" s="97"/>
      <c r="U313" s="97"/>
      <c r="V313" s="97"/>
      <c r="W313" s="116"/>
      <c r="X313" s="99"/>
      <c r="Y313" s="100"/>
    </row>
    <row r="314" spans="1:25" s="51" customFormat="1" ht="30.75" thickBot="1">
      <c r="A314" s="39" t="s">
        <v>873</v>
      </c>
      <c r="B314" s="40" t="s">
        <v>874</v>
      </c>
      <c r="C314" s="18" t="s">
        <v>875</v>
      </c>
      <c r="D314" s="41" t="s">
        <v>28</v>
      </c>
      <c r="E314" s="42" t="s">
        <v>28</v>
      </c>
      <c r="F314" s="83" t="s">
        <v>531</v>
      </c>
      <c r="G314" s="43" t="s">
        <v>30</v>
      </c>
      <c r="H314" s="22"/>
      <c r="I314" s="65">
        <v>100000</v>
      </c>
      <c r="J314" s="21" t="s">
        <v>31</v>
      </c>
      <c r="K314" s="18"/>
      <c r="L314" s="53"/>
      <c r="M314" s="22"/>
      <c r="N314" s="115">
        <v>1</v>
      </c>
      <c r="O314" s="47"/>
      <c r="P314" s="52"/>
      <c r="Q314" s="52"/>
      <c r="R314" s="47"/>
      <c r="S314" s="48"/>
      <c r="T314" s="46"/>
      <c r="U314" s="46"/>
      <c r="V314" s="46"/>
      <c r="W314" s="48"/>
      <c r="X314" s="49"/>
      <c r="Y314" s="50"/>
    </row>
    <row r="315" spans="1:25" ht="45.75" thickBot="1">
      <c r="A315" s="91">
        <v>312</v>
      </c>
      <c r="B315" s="110" t="s">
        <v>876</v>
      </c>
      <c r="C315" s="111" t="s">
        <v>877</v>
      </c>
      <c r="D315" s="93" t="s">
        <v>28</v>
      </c>
      <c r="E315" s="94" t="s">
        <v>28</v>
      </c>
      <c r="F315" s="254" t="s">
        <v>878</v>
      </c>
      <c r="G315" s="107" t="s">
        <v>30</v>
      </c>
      <c r="H315" s="38">
        <f>0.3048*92</f>
        <v>28.041600000000003</v>
      </c>
      <c r="I315" s="114">
        <v>500000</v>
      </c>
      <c r="J315" s="96" t="s">
        <v>31</v>
      </c>
      <c r="K315" s="68" t="s">
        <v>193</v>
      </c>
      <c r="L315" s="54"/>
      <c r="M315" s="38"/>
      <c r="N315" s="115" t="s">
        <v>107</v>
      </c>
      <c r="O315" s="115" t="s">
        <v>107</v>
      </c>
      <c r="P315" s="115" t="s">
        <v>107</v>
      </c>
      <c r="Q315" s="115" t="s">
        <v>107</v>
      </c>
      <c r="R315" s="115">
        <v>1</v>
      </c>
      <c r="S315" s="116"/>
      <c r="T315" s="99"/>
      <c r="U315" s="99"/>
      <c r="V315" s="99"/>
      <c r="W315" s="116"/>
      <c r="X315" s="99"/>
      <c r="Y315" s="100"/>
    </row>
    <row r="316" spans="1:25" ht="30.75" thickBot="1">
      <c r="A316" s="91">
        <v>313</v>
      </c>
      <c r="B316" s="110" t="s">
        <v>879</v>
      </c>
      <c r="C316" s="111" t="s">
        <v>880</v>
      </c>
      <c r="D316" s="93" t="s">
        <v>28</v>
      </c>
      <c r="E316" s="94" t="s">
        <v>28</v>
      </c>
      <c r="F316" s="254" t="s">
        <v>878</v>
      </c>
      <c r="G316" s="107" t="s">
        <v>30</v>
      </c>
      <c r="H316" s="38">
        <f>0.3048*192</f>
        <v>58.521600000000007</v>
      </c>
      <c r="I316" s="114">
        <v>500000</v>
      </c>
      <c r="J316" s="96" t="s">
        <v>31</v>
      </c>
      <c r="K316" s="68" t="s">
        <v>428</v>
      </c>
      <c r="L316" s="54">
        <v>485000</v>
      </c>
      <c r="M316" s="194">
        <f>L316/(I316-I316*3%)</f>
        <v>1</v>
      </c>
      <c r="N316" s="233" t="s">
        <v>107</v>
      </c>
      <c r="O316" s="233" t="s">
        <v>107</v>
      </c>
      <c r="P316" s="233" t="s">
        <v>107</v>
      </c>
      <c r="Q316" s="233" t="s">
        <v>107</v>
      </c>
      <c r="R316" s="233" t="s">
        <v>107</v>
      </c>
      <c r="S316" s="233" t="s">
        <v>107</v>
      </c>
      <c r="T316" s="233" t="s">
        <v>107</v>
      </c>
      <c r="U316" s="233">
        <f>-U317</f>
        <v>0</v>
      </c>
      <c r="V316" s="233">
        <f>-V317</f>
        <v>0</v>
      </c>
      <c r="W316" s="234">
        <v>1</v>
      </c>
      <c r="X316" s="99"/>
      <c r="Y316" s="100"/>
    </row>
    <row r="317" spans="1:25" ht="45.75" thickBot="1">
      <c r="A317" s="91">
        <v>314</v>
      </c>
      <c r="B317" s="110" t="s">
        <v>881</v>
      </c>
      <c r="C317" s="111" t="s">
        <v>882</v>
      </c>
      <c r="D317" s="93" t="s">
        <v>28</v>
      </c>
      <c r="E317" s="94" t="s">
        <v>28</v>
      </c>
      <c r="F317" s="254" t="s">
        <v>878</v>
      </c>
      <c r="G317" s="107" t="s">
        <v>30</v>
      </c>
      <c r="H317" s="38">
        <f>0.3048*138</f>
        <v>42.062400000000004</v>
      </c>
      <c r="I317" s="114">
        <v>1000000</v>
      </c>
      <c r="J317" s="96" t="s">
        <v>31</v>
      </c>
      <c r="K317" s="68" t="s">
        <v>428</v>
      </c>
      <c r="L317" s="54"/>
      <c r="M317" s="38"/>
      <c r="N317" s="115" t="s">
        <v>107</v>
      </c>
      <c r="O317" s="115" t="s">
        <v>107</v>
      </c>
      <c r="P317" s="115" t="s">
        <v>107</v>
      </c>
      <c r="Q317" s="115" t="s">
        <v>107</v>
      </c>
      <c r="R317" s="115" t="s">
        <v>107</v>
      </c>
      <c r="S317" s="115">
        <v>1</v>
      </c>
      <c r="T317" s="99"/>
      <c r="U317" s="99"/>
      <c r="V317" s="99"/>
      <c r="W317" s="116"/>
      <c r="X317" s="99"/>
      <c r="Y317" s="100"/>
    </row>
    <row r="318" spans="1:25" ht="45.75" thickBot="1">
      <c r="A318" s="91">
        <v>315</v>
      </c>
      <c r="B318" s="110" t="s">
        <v>883</v>
      </c>
      <c r="C318" s="111" t="s">
        <v>884</v>
      </c>
      <c r="D318" s="93" t="s">
        <v>28</v>
      </c>
      <c r="E318" s="94" t="s">
        <v>28</v>
      </c>
      <c r="F318" s="254" t="s">
        <v>878</v>
      </c>
      <c r="G318" s="107" t="s">
        <v>30</v>
      </c>
      <c r="H318" s="68">
        <f>0.3048*290</f>
        <v>88.39200000000001</v>
      </c>
      <c r="I318" s="114">
        <v>800000</v>
      </c>
      <c r="J318" s="96" t="s">
        <v>31</v>
      </c>
      <c r="K318" s="68" t="s">
        <v>428</v>
      </c>
      <c r="L318" s="54">
        <v>776000</v>
      </c>
      <c r="M318" s="194">
        <f>L318/(I318-I318*3%)</f>
        <v>1</v>
      </c>
      <c r="N318" s="233" t="s">
        <v>107</v>
      </c>
      <c r="O318" s="233" t="s">
        <v>107</v>
      </c>
      <c r="P318" s="233" t="s">
        <v>107</v>
      </c>
      <c r="Q318" s="233" t="s">
        <v>107</v>
      </c>
      <c r="R318" s="233" t="s">
        <v>107</v>
      </c>
      <c r="S318" s="233" t="s">
        <v>107</v>
      </c>
      <c r="T318" s="233" t="s">
        <v>107</v>
      </c>
      <c r="U318" s="233">
        <f>-U319</f>
        <v>0</v>
      </c>
      <c r="V318" s="233">
        <f>-V319</f>
        <v>0</v>
      </c>
      <c r="W318" s="234">
        <v>1</v>
      </c>
      <c r="X318" s="99"/>
      <c r="Y318" s="100"/>
    </row>
    <row r="319" spans="1:25" ht="30">
      <c r="A319" s="91">
        <v>316</v>
      </c>
      <c r="B319" s="110" t="s">
        <v>885</v>
      </c>
      <c r="C319" s="15" t="s">
        <v>886</v>
      </c>
      <c r="D319" s="93" t="s">
        <v>28</v>
      </c>
      <c r="E319" s="94" t="s">
        <v>28</v>
      </c>
      <c r="F319" s="68" t="s">
        <v>471</v>
      </c>
      <c r="G319" s="107" t="s">
        <v>30</v>
      </c>
      <c r="H319" s="38">
        <f>0.3048*213</f>
        <v>64.92240000000001</v>
      </c>
      <c r="I319" s="114">
        <v>400000</v>
      </c>
      <c r="J319" s="96" t="s">
        <v>31</v>
      </c>
      <c r="K319" s="15"/>
      <c r="L319" s="54"/>
      <c r="M319" s="38"/>
      <c r="N319" s="115" t="s">
        <v>107</v>
      </c>
      <c r="O319" s="115">
        <v>1</v>
      </c>
      <c r="P319" s="102"/>
      <c r="Q319" s="102"/>
      <c r="R319" s="115"/>
      <c r="S319" s="116"/>
      <c r="T319" s="99"/>
      <c r="U319" s="99"/>
      <c r="V319" s="99"/>
      <c r="W319" s="116"/>
      <c r="X319" s="99"/>
      <c r="Y319" s="100"/>
    </row>
    <row r="320" spans="1:25" ht="51.75" customHeight="1">
      <c r="A320" s="91">
        <v>317</v>
      </c>
      <c r="B320" s="110" t="s">
        <v>887</v>
      </c>
      <c r="C320" s="111" t="s">
        <v>888</v>
      </c>
      <c r="D320" s="93" t="s">
        <v>28</v>
      </c>
      <c r="E320" s="94" t="s">
        <v>28</v>
      </c>
      <c r="F320" s="15" t="s">
        <v>889</v>
      </c>
      <c r="G320" s="107" t="s">
        <v>30</v>
      </c>
      <c r="H320" s="68">
        <f>0.3048*178</f>
        <v>54.254400000000004</v>
      </c>
      <c r="I320" s="114">
        <v>1000000</v>
      </c>
      <c r="J320" s="96" t="s">
        <v>31</v>
      </c>
      <c r="K320" s="68" t="s">
        <v>890</v>
      </c>
      <c r="L320" s="54"/>
      <c r="M320" s="38"/>
      <c r="N320" s="233" t="s">
        <v>107</v>
      </c>
      <c r="O320" s="233" t="s">
        <v>107</v>
      </c>
      <c r="P320" s="233" t="s">
        <v>107</v>
      </c>
      <c r="Q320" s="233" t="s">
        <v>107</v>
      </c>
      <c r="R320" s="233" t="s">
        <v>107</v>
      </c>
      <c r="S320" s="233" t="s">
        <v>107</v>
      </c>
      <c r="T320" s="233" t="s">
        <v>107</v>
      </c>
      <c r="U320" s="233">
        <f>-U321</f>
        <v>0</v>
      </c>
      <c r="V320" s="233">
        <f>-V321</f>
        <v>0</v>
      </c>
      <c r="W320" s="234">
        <v>1</v>
      </c>
      <c r="X320" s="99"/>
      <c r="Y320" s="100"/>
    </row>
    <row r="321" spans="1:25" ht="45">
      <c r="A321" s="91">
        <v>318</v>
      </c>
      <c r="B321" s="110" t="s">
        <v>891</v>
      </c>
      <c r="C321" s="111" t="s">
        <v>892</v>
      </c>
      <c r="D321" s="93" t="s">
        <v>28</v>
      </c>
      <c r="E321" s="94" t="s">
        <v>28</v>
      </c>
      <c r="F321" s="15" t="s">
        <v>889</v>
      </c>
      <c r="G321" s="107" t="s">
        <v>30</v>
      </c>
      <c r="H321" s="38"/>
      <c r="I321" s="114">
        <v>500000</v>
      </c>
      <c r="J321" s="96" t="s">
        <v>31</v>
      </c>
      <c r="K321" s="15"/>
      <c r="L321" s="54"/>
      <c r="M321" s="38"/>
      <c r="N321" s="115"/>
      <c r="O321" s="118"/>
      <c r="P321" s="102"/>
      <c r="Q321" s="102"/>
      <c r="R321" s="115">
        <v>1</v>
      </c>
      <c r="S321" s="116"/>
      <c r="T321" s="99"/>
      <c r="U321" s="99"/>
      <c r="V321" s="99"/>
      <c r="W321" s="116"/>
      <c r="X321" s="99"/>
      <c r="Y321" s="100"/>
    </row>
    <row r="322" spans="1:25" ht="30">
      <c r="A322" s="91">
        <v>319</v>
      </c>
      <c r="B322" s="110" t="s">
        <v>893</v>
      </c>
      <c r="C322" s="111" t="s">
        <v>894</v>
      </c>
      <c r="D322" s="93" t="s">
        <v>28</v>
      </c>
      <c r="E322" s="94" t="s">
        <v>28</v>
      </c>
      <c r="F322" s="15" t="s">
        <v>504</v>
      </c>
      <c r="G322" s="107" t="s">
        <v>30</v>
      </c>
      <c r="H322" s="38"/>
      <c r="I322" s="114">
        <v>1000000</v>
      </c>
      <c r="J322" s="96" t="s">
        <v>31</v>
      </c>
      <c r="K322" s="15"/>
      <c r="L322" s="54"/>
      <c r="M322" s="38"/>
      <c r="N322" s="115">
        <v>1</v>
      </c>
      <c r="O322" s="118"/>
      <c r="P322" s="102"/>
      <c r="Q322" s="102"/>
      <c r="R322" s="115"/>
      <c r="S322" s="116"/>
      <c r="T322" s="97"/>
      <c r="U322" s="97"/>
      <c r="V322" s="97"/>
      <c r="W322" s="116"/>
      <c r="X322" s="99"/>
      <c r="Y322" s="100"/>
    </row>
    <row r="323" spans="1:25" ht="30.75" thickBot="1">
      <c r="A323" s="91">
        <v>320</v>
      </c>
      <c r="B323" s="110" t="s">
        <v>895</v>
      </c>
      <c r="C323" s="111" t="s">
        <v>896</v>
      </c>
      <c r="D323" s="93" t="s">
        <v>28</v>
      </c>
      <c r="E323" s="94" t="s">
        <v>28</v>
      </c>
      <c r="F323" s="15" t="s">
        <v>504</v>
      </c>
      <c r="G323" s="107" t="s">
        <v>30</v>
      </c>
      <c r="H323" s="38"/>
      <c r="I323" s="114">
        <v>500000</v>
      </c>
      <c r="J323" s="96" t="s">
        <v>31</v>
      </c>
      <c r="K323" s="15"/>
      <c r="L323" s="54"/>
      <c r="M323" s="38"/>
      <c r="N323" s="115">
        <v>1</v>
      </c>
      <c r="O323" s="118"/>
      <c r="P323" s="102"/>
      <c r="Q323" s="102"/>
      <c r="R323" s="115"/>
      <c r="S323" s="116"/>
      <c r="T323" s="97"/>
      <c r="U323" s="97"/>
      <c r="V323" s="97"/>
      <c r="W323" s="116"/>
      <c r="X323" s="99"/>
      <c r="Y323" s="100"/>
    </row>
    <row r="324" spans="1:25" ht="42.75" customHeight="1" thickBot="1">
      <c r="A324" s="91">
        <v>321</v>
      </c>
      <c r="B324" s="110" t="s">
        <v>897</v>
      </c>
      <c r="C324" s="15" t="s">
        <v>898</v>
      </c>
      <c r="D324" s="93" t="s">
        <v>28</v>
      </c>
      <c r="E324" s="94" t="s">
        <v>28</v>
      </c>
      <c r="F324" s="112" t="s">
        <v>521</v>
      </c>
      <c r="G324" s="107" t="s">
        <v>30</v>
      </c>
      <c r="H324" s="38"/>
      <c r="I324" s="114">
        <v>300000</v>
      </c>
      <c r="J324" s="96" t="s">
        <v>31</v>
      </c>
      <c r="K324" s="15"/>
      <c r="L324" s="54"/>
      <c r="M324" s="38"/>
      <c r="N324" s="233" t="s">
        <v>107</v>
      </c>
      <c r="O324" s="233" t="s">
        <v>107</v>
      </c>
      <c r="P324" s="233" t="s">
        <v>107</v>
      </c>
      <c r="Q324" s="233" t="s">
        <v>107</v>
      </c>
      <c r="R324" s="233" t="s">
        <v>107</v>
      </c>
      <c r="S324" s="115">
        <v>1</v>
      </c>
      <c r="T324" s="99"/>
      <c r="U324" s="99"/>
      <c r="V324" s="99"/>
      <c r="W324" s="116"/>
      <c r="X324" s="99"/>
      <c r="Y324" s="100"/>
    </row>
    <row r="325" spans="1:25" ht="45.75" thickBot="1">
      <c r="A325" s="91">
        <v>322</v>
      </c>
      <c r="B325" s="110" t="s">
        <v>899</v>
      </c>
      <c r="C325" s="15" t="s">
        <v>900</v>
      </c>
      <c r="D325" s="93" t="s">
        <v>28</v>
      </c>
      <c r="E325" s="94" t="s">
        <v>28</v>
      </c>
      <c r="F325" s="112" t="s">
        <v>521</v>
      </c>
      <c r="G325" s="107" t="s">
        <v>30</v>
      </c>
      <c r="H325" s="38"/>
      <c r="I325" s="114">
        <v>300000</v>
      </c>
      <c r="J325" s="96" t="s">
        <v>31</v>
      </c>
      <c r="K325" s="15"/>
      <c r="L325" s="54"/>
      <c r="M325" s="38"/>
      <c r="N325" s="233" t="s">
        <v>107</v>
      </c>
      <c r="O325" s="233" t="s">
        <v>107</v>
      </c>
      <c r="P325" s="233" t="s">
        <v>107</v>
      </c>
      <c r="Q325" s="233" t="s">
        <v>107</v>
      </c>
      <c r="R325" s="233" t="s">
        <v>107</v>
      </c>
      <c r="S325" s="115">
        <v>1</v>
      </c>
      <c r="T325" s="99"/>
      <c r="U325" s="99"/>
      <c r="V325" s="99"/>
      <c r="W325" s="116"/>
      <c r="X325" s="99"/>
      <c r="Y325" s="100"/>
    </row>
    <row r="326" spans="1:25" ht="45.75" thickBot="1">
      <c r="A326" s="91">
        <v>323</v>
      </c>
      <c r="B326" s="110" t="s">
        <v>901</v>
      </c>
      <c r="C326" s="111" t="s">
        <v>902</v>
      </c>
      <c r="D326" s="93" t="s">
        <v>28</v>
      </c>
      <c r="E326" s="94" t="s">
        <v>28</v>
      </c>
      <c r="F326" s="112" t="s">
        <v>521</v>
      </c>
      <c r="G326" s="107" t="s">
        <v>30</v>
      </c>
      <c r="H326" s="38"/>
      <c r="I326" s="114">
        <v>500000</v>
      </c>
      <c r="J326" s="96" t="s">
        <v>31</v>
      </c>
      <c r="K326" s="15"/>
      <c r="L326" s="54"/>
      <c r="M326" s="38"/>
      <c r="N326" s="233" t="s">
        <v>107</v>
      </c>
      <c r="O326" s="115"/>
      <c r="P326" s="102"/>
      <c r="Q326" s="102"/>
      <c r="R326" s="115">
        <v>1</v>
      </c>
      <c r="S326" s="116"/>
      <c r="T326" s="99"/>
      <c r="U326" s="99"/>
      <c r="V326" s="99"/>
      <c r="W326" s="116"/>
      <c r="X326" s="99"/>
      <c r="Y326" s="100"/>
    </row>
    <row r="327" spans="1:25" s="51" customFormat="1" ht="30">
      <c r="A327" s="39" t="s">
        <v>903</v>
      </c>
      <c r="B327" s="40" t="s">
        <v>904</v>
      </c>
      <c r="C327" s="18" t="s">
        <v>905</v>
      </c>
      <c r="D327" s="41" t="s">
        <v>28</v>
      </c>
      <c r="E327" s="42" t="s">
        <v>28</v>
      </c>
      <c r="F327" s="18"/>
      <c r="G327" s="43" t="s">
        <v>906</v>
      </c>
      <c r="H327" s="22"/>
      <c r="I327" s="65">
        <v>200000</v>
      </c>
      <c r="J327" s="21" t="s">
        <v>31</v>
      </c>
      <c r="K327" s="18"/>
      <c r="L327" s="53"/>
      <c r="M327" s="22"/>
      <c r="N327" s="233" t="s">
        <v>107</v>
      </c>
      <c r="O327" s="115">
        <v>1</v>
      </c>
      <c r="P327" s="52"/>
      <c r="Q327" s="52"/>
      <c r="R327" s="47"/>
      <c r="S327" s="48"/>
      <c r="T327" s="46"/>
      <c r="U327" s="46"/>
      <c r="V327" s="46"/>
      <c r="W327" s="48"/>
      <c r="X327" s="49"/>
      <c r="Y327" s="50"/>
    </row>
    <row r="328" spans="1:25" ht="30.75" thickBot="1">
      <c r="A328" s="91">
        <v>325</v>
      </c>
      <c r="B328" s="110" t="s">
        <v>907</v>
      </c>
      <c r="C328" s="15" t="s">
        <v>908</v>
      </c>
      <c r="D328" s="93" t="s">
        <v>28</v>
      </c>
      <c r="E328" s="94" t="s">
        <v>28</v>
      </c>
      <c r="F328" s="244" t="s">
        <v>531</v>
      </c>
      <c r="G328" s="107" t="s">
        <v>30</v>
      </c>
      <c r="H328" s="38"/>
      <c r="I328" s="114">
        <v>500000</v>
      </c>
      <c r="J328" s="96" t="s">
        <v>31</v>
      </c>
      <c r="K328" s="15"/>
      <c r="L328" s="54"/>
      <c r="M328" s="38"/>
      <c r="N328" s="233" t="s">
        <v>107</v>
      </c>
      <c r="O328" s="233" t="s">
        <v>107</v>
      </c>
      <c r="P328" s="233" t="s">
        <v>107</v>
      </c>
      <c r="Q328" s="233" t="s">
        <v>107</v>
      </c>
      <c r="R328" s="115">
        <v>1</v>
      </c>
      <c r="S328" s="116"/>
      <c r="T328" s="99"/>
      <c r="U328" s="99"/>
      <c r="V328" s="99"/>
      <c r="W328" s="116"/>
      <c r="X328" s="99"/>
      <c r="Y328" s="100"/>
    </row>
    <row r="329" spans="1:25" ht="30.75" thickBot="1">
      <c r="A329" s="91">
        <v>326</v>
      </c>
      <c r="B329" s="110" t="s">
        <v>909</v>
      </c>
      <c r="C329" s="111" t="s">
        <v>910</v>
      </c>
      <c r="D329" s="93" t="s">
        <v>28</v>
      </c>
      <c r="E329" s="94" t="s">
        <v>28</v>
      </c>
      <c r="F329" s="112" t="s">
        <v>582</v>
      </c>
      <c r="G329" s="107" t="s">
        <v>30</v>
      </c>
      <c r="H329" s="38"/>
      <c r="I329" s="114">
        <v>500000</v>
      </c>
      <c r="J329" s="96" t="s">
        <v>31</v>
      </c>
      <c r="K329" s="15"/>
      <c r="L329" s="54"/>
      <c r="M329" s="38"/>
      <c r="N329" s="233" t="s">
        <v>107</v>
      </c>
      <c r="O329" s="233" t="s">
        <v>107</v>
      </c>
      <c r="P329" s="233" t="s">
        <v>107</v>
      </c>
      <c r="Q329" s="233" t="s">
        <v>107</v>
      </c>
      <c r="R329" s="115">
        <v>1</v>
      </c>
      <c r="S329" s="116"/>
      <c r="T329" s="99"/>
      <c r="U329" s="99"/>
      <c r="V329" s="99"/>
      <c r="W329" s="116"/>
      <c r="X329" s="99"/>
      <c r="Y329" s="100"/>
    </row>
    <row r="330" spans="1:25" ht="30.75" thickBot="1">
      <c r="A330" s="91">
        <v>327</v>
      </c>
      <c r="B330" s="110" t="s">
        <v>911</v>
      </c>
      <c r="C330" s="111" t="s">
        <v>912</v>
      </c>
      <c r="D330" s="93" t="s">
        <v>28</v>
      </c>
      <c r="E330" s="94" t="s">
        <v>28</v>
      </c>
      <c r="F330" s="112" t="s">
        <v>600</v>
      </c>
      <c r="G330" s="107" t="s">
        <v>30</v>
      </c>
      <c r="H330" s="38"/>
      <c r="I330" s="114">
        <v>300000</v>
      </c>
      <c r="J330" s="96" t="s">
        <v>31</v>
      </c>
      <c r="K330" s="15"/>
      <c r="L330" s="54"/>
      <c r="M330" s="38"/>
      <c r="N330" s="233" t="s">
        <v>107</v>
      </c>
      <c r="O330" s="115"/>
      <c r="P330" s="102"/>
      <c r="Q330" s="102"/>
      <c r="R330" s="115">
        <v>1</v>
      </c>
      <c r="S330" s="116"/>
      <c r="T330" s="99"/>
      <c r="U330" s="99"/>
      <c r="V330" s="99"/>
      <c r="W330" s="116"/>
      <c r="X330" s="99"/>
      <c r="Y330" s="100"/>
    </row>
    <row r="331" spans="1:25" ht="30.75" thickBot="1">
      <c r="A331" s="91">
        <v>328</v>
      </c>
      <c r="B331" s="110" t="s">
        <v>913</v>
      </c>
      <c r="C331" s="111" t="s">
        <v>914</v>
      </c>
      <c r="D331" s="93" t="s">
        <v>28</v>
      </c>
      <c r="E331" s="94" t="s">
        <v>28</v>
      </c>
      <c r="F331" s="112" t="s">
        <v>600</v>
      </c>
      <c r="G331" s="107" t="s">
        <v>30</v>
      </c>
      <c r="H331" s="68">
        <f>0.3048*210</f>
        <v>64.00800000000001</v>
      </c>
      <c r="I331" s="114">
        <v>500000</v>
      </c>
      <c r="J331" s="96" t="s">
        <v>31</v>
      </c>
      <c r="K331" s="68" t="s">
        <v>595</v>
      </c>
      <c r="L331" s="54"/>
      <c r="M331" s="38"/>
      <c r="N331" s="233" t="s">
        <v>107</v>
      </c>
      <c r="O331" s="233" t="s">
        <v>107</v>
      </c>
      <c r="P331" s="233" t="s">
        <v>107</v>
      </c>
      <c r="Q331" s="233" t="s">
        <v>107</v>
      </c>
      <c r="R331" s="233" t="s">
        <v>107</v>
      </c>
      <c r="S331" s="233" t="s">
        <v>107</v>
      </c>
      <c r="T331" s="233" t="s">
        <v>107</v>
      </c>
      <c r="U331" s="233" t="s">
        <v>107</v>
      </c>
      <c r="V331" s="233" t="s">
        <v>107</v>
      </c>
      <c r="W331" s="115">
        <v>1</v>
      </c>
      <c r="X331" s="99"/>
      <c r="Y331" s="100"/>
    </row>
    <row r="332" spans="1:25" ht="30.75" thickBot="1">
      <c r="A332" s="91">
        <v>329</v>
      </c>
      <c r="B332" s="110" t="s">
        <v>915</v>
      </c>
      <c r="C332" s="111" t="s">
        <v>916</v>
      </c>
      <c r="D332" s="93" t="s">
        <v>28</v>
      </c>
      <c r="E332" s="94" t="s">
        <v>28</v>
      </c>
      <c r="F332" s="112" t="s">
        <v>600</v>
      </c>
      <c r="G332" s="107" t="s">
        <v>30</v>
      </c>
      <c r="H332" s="38"/>
      <c r="I332" s="114">
        <v>500000</v>
      </c>
      <c r="J332" s="96" t="s">
        <v>31</v>
      </c>
      <c r="K332" s="15"/>
      <c r="L332" s="54"/>
      <c r="M332" s="38"/>
      <c r="N332" s="233" t="s">
        <v>107</v>
      </c>
      <c r="O332" s="233" t="s">
        <v>107</v>
      </c>
      <c r="P332" s="233" t="s">
        <v>107</v>
      </c>
      <c r="Q332" s="233" t="s">
        <v>107</v>
      </c>
      <c r="R332" s="115">
        <v>1</v>
      </c>
      <c r="S332" s="116"/>
      <c r="T332" s="99"/>
      <c r="U332" s="99"/>
      <c r="V332" s="99"/>
      <c r="W332" s="116"/>
      <c r="X332" s="99"/>
      <c r="Y332" s="100"/>
    </row>
    <row r="333" spans="1:25" ht="30">
      <c r="A333" s="91">
        <v>330</v>
      </c>
      <c r="B333" s="110" t="s">
        <v>917</v>
      </c>
      <c r="C333" s="69" t="s">
        <v>918</v>
      </c>
      <c r="D333" s="93" t="s">
        <v>28</v>
      </c>
      <c r="E333" s="94" t="s">
        <v>28</v>
      </c>
      <c r="F333" s="68" t="s">
        <v>635</v>
      </c>
      <c r="G333" s="107" t="s">
        <v>30</v>
      </c>
      <c r="H333" s="38"/>
      <c r="I333" s="114">
        <v>500000</v>
      </c>
      <c r="J333" s="96" t="s">
        <v>31</v>
      </c>
      <c r="K333" s="15"/>
      <c r="L333" s="54"/>
      <c r="M333" s="38"/>
      <c r="N333" s="233" t="s">
        <v>107</v>
      </c>
      <c r="O333" s="115"/>
      <c r="P333" s="102"/>
      <c r="Q333" s="102"/>
      <c r="R333" s="115">
        <v>1</v>
      </c>
      <c r="S333" s="116"/>
      <c r="T333" s="99"/>
      <c r="U333" s="99"/>
      <c r="V333" s="99"/>
      <c r="W333" s="116"/>
      <c r="X333" s="99"/>
      <c r="Y333" s="100"/>
    </row>
    <row r="334" spans="1:25" ht="45">
      <c r="A334" s="91">
        <v>331</v>
      </c>
      <c r="B334" s="92" t="s">
        <v>919</v>
      </c>
      <c r="C334" s="69" t="s">
        <v>920</v>
      </c>
      <c r="D334" s="93" t="s">
        <v>28</v>
      </c>
      <c r="E334" s="94" t="s">
        <v>28</v>
      </c>
      <c r="F334" s="68" t="s">
        <v>921</v>
      </c>
      <c r="G334" s="107" t="s">
        <v>30</v>
      </c>
      <c r="H334" s="68">
        <f>0.3048*(160+20)</f>
        <v>54.864000000000004</v>
      </c>
      <c r="I334" s="131">
        <v>500000</v>
      </c>
      <c r="J334" s="96" t="s">
        <v>31</v>
      </c>
      <c r="K334" s="68" t="s">
        <v>669</v>
      </c>
      <c r="L334" s="54"/>
      <c r="M334" s="38"/>
      <c r="N334" s="115" t="s">
        <v>107</v>
      </c>
      <c r="O334" s="115" t="s">
        <v>107</v>
      </c>
      <c r="P334" s="115" t="s">
        <v>107</v>
      </c>
      <c r="Q334" s="115" t="s">
        <v>107</v>
      </c>
      <c r="R334" s="115" t="s">
        <v>107</v>
      </c>
      <c r="S334" s="115">
        <v>1</v>
      </c>
      <c r="T334" s="99"/>
      <c r="U334" s="99"/>
      <c r="V334" s="99"/>
      <c r="W334" s="133"/>
      <c r="X334" s="99"/>
      <c r="Y334" s="100"/>
    </row>
    <row r="335" spans="1:25" ht="33.75" customHeight="1">
      <c r="A335" s="91">
        <v>332</v>
      </c>
      <c r="B335" s="92" t="s">
        <v>922</v>
      </c>
      <c r="C335" s="111" t="s">
        <v>923</v>
      </c>
      <c r="D335" s="93" t="s">
        <v>28</v>
      </c>
      <c r="E335" s="94" t="s">
        <v>28</v>
      </c>
      <c r="F335" s="68" t="s">
        <v>921</v>
      </c>
      <c r="G335" s="107" t="s">
        <v>30</v>
      </c>
      <c r="H335" s="38"/>
      <c r="I335" s="131">
        <v>500000</v>
      </c>
      <c r="J335" s="96" t="s">
        <v>31</v>
      </c>
      <c r="K335" s="15"/>
      <c r="L335" s="54"/>
      <c r="M335" s="38"/>
      <c r="N335" s="233" t="s">
        <v>107</v>
      </c>
      <c r="O335" s="115">
        <v>1</v>
      </c>
      <c r="P335" s="102"/>
      <c r="Q335" s="102"/>
      <c r="R335" s="132"/>
      <c r="S335" s="133"/>
      <c r="T335" s="97"/>
      <c r="U335" s="97"/>
      <c r="V335" s="97"/>
      <c r="W335" s="133"/>
      <c r="X335" s="99"/>
      <c r="Y335" s="100" t="s">
        <v>924</v>
      </c>
    </row>
    <row r="336" spans="1:25" s="59" customFormat="1" ht="30">
      <c r="A336" s="70">
        <v>333</v>
      </c>
      <c r="B336" s="286" t="s">
        <v>925</v>
      </c>
      <c r="C336" s="57" t="s">
        <v>926</v>
      </c>
      <c r="D336" s="122" t="s">
        <v>28</v>
      </c>
      <c r="E336" s="123" t="s">
        <v>28</v>
      </c>
      <c r="F336" s="57" t="s">
        <v>921</v>
      </c>
      <c r="G336" s="124" t="s">
        <v>30</v>
      </c>
      <c r="H336" s="58"/>
      <c r="I336" s="287">
        <v>475000</v>
      </c>
      <c r="J336" s="126" t="s">
        <v>31</v>
      </c>
      <c r="K336" s="57"/>
      <c r="L336" s="56"/>
      <c r="M336" s="58"/>
      <c r="N336" s="288" t="s">
        <v>107</v>
      </c>
      <c r="O336" s="288" t="s">
        <v>107</v>
      </c>
      <c r="P336" s="288" t="s">
        <v>107</v>
      </c>
      <c r="Q336" s="288" t="s">
        <v>107</v>
      </c>
      <c r="R336" s="234">
        <v>1</v>
      </c>
      <c r="S336" s="288"/>
      <c r="T336" s="288"/>
      <c r="U336" s="288"/>
      <c r="V336" s="288"/>
      <c r="W336" s="234"/>
      <c r="X336" s="60"/>
      <c r="Y336" s="61"/>
    </row>
    <row r="337" spans="1:25" ht="30">
      <c r="A337" s="91">
        <v>334</v>
      </c>
      <c r="B337" s="92" t="s">
        <v>927</v>
      </c>
      <c r="C337" s="69" t="s">
        <v>928</v>
      </c>
      <c r="D337" s="93" t="s">
        <v>28</v>
      </c>
      <c r="E337" s="94" t="s">
        <v>28</v>
      </c>
      <c r="F337" s="68" t="s">
        <v>921</v>
      </c>
      <c r="G337" s="107" t="s">
        <v>30</v>
      </c>
      <c r="H337" s="38"/>
      <c r="I337" s="131">
        <v>300000</v>
      </c>
      <c r="J337" s="96" t="s">
        <v>31</v>
      </c>
      <c r="K337" s="15"/>
      <c r="L337" s="54"/>
      <c r="M337" s="38"/>
      <c r="N337" s="132">
        <v>1</v>
      </c>
      <c r="O337" s="132"/>
      <c r="P337" s="102"/>
      <c r="Q337" s="102"/>
      <c r="R337" s="132"/>
      <c r="S337" s="133"/>
      <c r="T337" s="97"/>
      <c r="U337" s="97"/>
      <c r="V337" s="97"/>
      <c r="W337" s="133"/>
      <c r="X337" s="99"/>
      <c r="Y337" s="100" t="s">
        <v>924</v>
      </c>
    </row>
    <row r="338" spans="1:25" ht="30">
      <c r="A338" s="91">
        <v>335</v>
      </c>
      <c r="B338" s="92" t="s">
        <v>929</v>
      </c>
      <c r="C338" s="111" t="s">
        <v>930</v>
      </c>
      <c r="D338" s="93" t="s">
        <v>28</v>
      </c>
      <c r="E338" s="94" t="s">
        <v>28</v>
      </c>
      <c r="F338" s="68" t="s">
        <v>921</v>
      </c>
      <c r="G338" s="107" t="s">
        <v>30</v>
      </c>
      <c r="H338" s="38"/>
      <c r="I338" s="131">
        <v>300000</v>
      </c>
      <c r="J338" s="96" t="s">
        <v>31</v>
      </c>
      <c r="K338" s="15"/>
      <c r="L338" s="54"/>
      <c r="M338" s="38"/>
      <c r="N338" s="233" t="s">
        <v>107</v>
      </c>
      <c r="O338" s="233" t="s">
        <v>107</v>
      </c>
      <c r="P338" s="233" t="s">
        <v>107</v>
      </c>
      <c r="Q338" s="233" t="s">
        <v>107</v>
      </c>
      <c r="R338" s="233" t="s">
        <v>107</v>
      </c>
      <c r="S338" s="233" t="s">
        <v>107</v>
      </c>
      <c r="T338" s="233" t="s">
        <v>107</v>
      </c>
      <c r="U338" s="233">
        <f>-U339</f>
        <v>0</v>
      </c>
      <c r="V338" s="233">
        <f>-V339</f>
        <v>0</v>
      </c>
      <c r="W338" s="234">
        <v>1</v>
      </c>
      <c r="X338" s="99"/>
      <c r="Y338" s="100"/>
    </row>
    <row r="339" spans="1:25" ht="45">
      <c r="A339" s="91">
        <v>336</v>
      </c>
      <c r="B339" s="92" t="s">
        <v>931</v>
      </c>
      <c r="C339" s="111" t="s">
        <v>932</v>
      </c>
      <c r="D339" s="93" t="s">
        <v>28</v>
      </c>
      <c r="E339" s="94" t="s">
        <v>28</v>
      </c>
      <c r="F339" s="68" t="s">
        <v>933</v>
      </c>
      <c r="G339" s="107" t="s">
        <v>30</v>
      </c>
      <c r="H339" s="38">
        <f>0.3048*215</f>
        <v>65.531999999999996</v>
      </c>
      <c r="I339" s="131">
        <v>475000</v>
      </c>
      <c r="J339" s="96" t="s">
        <v>31</v>
      </c>
      <c r="K339" s="68" t="s">
        <v>40</v>
      </c>
      <c r="L339" s="54">
        <v>460750</v>
      </c>
      <c r="M339" s="194">
        <f>L339/(I339-I339*3%)</f>
        <v>1</v>
      </c>
      <c r="N339" s="233" t="s">
        <v>107</v>
      </c>
      <c r="O339" s="233" t="s">
        <v>107</v>
      </c>
      <c r="P339" s="233" t="s">
        <v>107</v>
      </c>
      <c r="Q339" s="233" t="s">
        <v>107</v>
      </c>
      <c r="R339" s="233" t="s">
        <v>107</v>
      </c>
      <c r="S339" s="233" t="s">
        <v>107</v>
      </c>
      <c r="T339" s="233" t="s">
        <v>107</v>
      </c>
      <c r="U339" s="233">
        <f>-U340</f>
        <v>0</v>
      </c>
      <c r="V339" s="233">
        <f>-V340</f>
        <v>0</v>
      </c>
      <c r="W339" s="234">
        <v>1</v>
      </c>
      <c r="X339" s="99"/>
      <c r="Y339" s="100"/>
    </row>
    <row r="340" spans="1:25" ht="30">
      <c r="A340" s="91">
        <v>337</v>
      </c>
      <c r="B340" s="92" t="s">
        <v>934</v>
      </c>
      <c r="C340" s="111" t="s">
        <v>935</v>
      </c>
      <c r="D340" s="93" t="s">
        <v>28</v>
      </c>
      <c r="E340" s="94" t="s">
        <v>28</v>
      </c>
      <c r="F340" s="68" t="s">
        <v>933</v>
      </c>
      <c r="G340" s="107" t="s">
        <v>30</v>
      </c>
      <c r="H340" s="68">
        <f>0.3048*(24+116)</f>
        <v>42.672000000000004</v>
      </c>
      <c r="I340" s="131">
        <v>250000</v>
      </c>
      <c r="J340" s="96" t="s">
        <v>31</v>
      </c>
      <c r="K340" s="15"/>
      <c r="L340" s="54"/>
      <c r="M340" s="38"/>
      <c r="N340" s="115" t="s">
        <v>107</v>
      </c>
      <c r="O340" s="132"/>
      <c r="P340" s="102"/>
      <c r="Q340" s="102"/>
      <c r="R340" s="132">
        <v>1</v>
      </c>
      <c r="S340" s="133"/>
      <c r="T340" s="99"/>
      <c r="U340" s="99"/>
      <c r="V340" s="99"/>
      <c r="W340" s="133"/>
      <c r="X340" s="99"/>
      <c r="Y340" s="100"/>
    </row>
    <row r="341" spans="1:25" ht="30">
      <c r="A341" s="91">
        <v>338</v>
      </c>
      <c r="B341" s="92" t="s">
        <v>936</v>
      </c>
      <c r="C341" s="111" t="s">
        <v>937</v>
      </c>
      <c r="D341" s="93" t="s">
        <v>28</v>
      </c>
      <c r="E341" s="94" t="s">
        <v>28</v>
      </c>
      <c r="F341" s="15"/>
      <c r="G341" s="107" t="s">
        <v>30</v>
      </c>
      <c r="H341" s="38"/>
      <c r="I341" s="131">
        <v>1000000</v>
      </c>
      <c r="J341" s="96" t="s">
        <v>31</v>
      </c>
      <c r="K341" s="15"/>
      <c r="L341" s="54"/>
      <c r="M341" s="38"/>
      <c r="N341" s="115" t="s">
        <v>107</v>
      </c>
      <c r="O341" s="115" t="s">
        <v>107</v>
      </c>
      <c r="P341" s="115" t="s">
        <v>107</v>
      </c>
      <c r="Q341" s="115" t="s">
        <v>107</v>
      </c>
      <c r="R341" s="132">
        <v>1</v>
      </c>
      <c r="S341" s="133"/>
      <c r="T341" s="97"/>
      <c r="U341" s="97"/>
      <c r="V341" s="97"/>
      <c r="W341" s="133"/>
      <c r="X341" s="99"/>
      <c r="Y341" s="100"/>
    </row>
    <row r="342" spans="1:25" ht="30">
      <c r="A342" s="91">
        <v>339</v>
      </c>
      <c r="B342" s="92" t="s">
        <v>938</v>
      </c>
      <c r="C342" s="111" t="s">
        <v>939</v>
      </c>
      <c r="D342" s="93" t="s">
        <v>28</v>
      </c>
      <c r="E342" s="94" t="s">
        <v>28</v>
      </c>
      <c r="F342" s="68" t="s">
        <v>536</v>
      </c>
      <c r="G342" s="107" t="s">
        <v>30</v>
      </c>
      <c r="H342" s="33">
        <f>0.3048*330</f>
        <v>100.584</v>
      </c>
      <c r="I342" s="131">
        <v>1000000</v>
      </c>
      <c r="J342" s="96" t="s">
        <v>31</v>
      </c>
      <c r="K342" s="15"/>
      <c r="L342" s="54"/>
      <c r="M342" s="38"/>
      <c r="N342" s="132" t="s">
        <v>107</v>
      </c>
      <c r="O342" s="132" t="s">
        <v>107</v>
      </c>
      <c r="P342" s="132" t="s">
        <v>107</v>
      </c>
      <c r="Q342" s="115" t="s">
        <v>107</v>
      </c>
      <c r="R342" s="132">
        <v>1</v>
      </c>
      <c r="S342" s="133"/>
      <c r="T342" s="99"/>
      <c r="U342" s="99"/>
      <c r="V342" s="99"/>
      <c r="W342" s="133"/>
      <c r="X342" s="99"/>
      <c r="Y342" s="100"/>
    </row>
    <row r="343" spans="1:25" ht="30">
      <c r="A343" s="91">
        <v>340</v>
      </c>
      <c r="B343" s="92" t="s">
        <v>940</v>
      </c>
      <c r="C343" s="111" t="s">
        <v>941</v>
      </c>
      <c r="D343" s="93" t="s">
        <v>28</v>
      </c>
      <c r="E343" s="94" t="s">
        <v>28</v>
      </c>
      <c r="F343" s="68" t="s">
        <v>942</v>
      </c>
      <c r="G343" s="107" t="s">
        <v>30</v>
      </c>
      <c r="H343" s="38"/>
      <c r="I343" s="131">
        <v>1000000</v>
      </c>
      <c r="J343" s="96" t="s">
        <v>31</v>
      </c>
      <c r="K343" s="15"/>
      <c r="L343" s="54"/>
      <c r="M343" s="38"/>
      <c r="N343" s="132">
        <v>1</v>
      </c>
      <c r="O343" s="132"/>
      <c r="P343" s="102"/>
      <c r="Q343" s="102"/>
      <c r="R343" s="132"/>
      <c r="S343" s="133"/>
      <c r="T343" s="97"/>
      <c r="U343" s="97"/>
      <c r="V343" s="97"/>
      <c r="W343" s="133"/>
      <c r="X343" s="99"/>
      <c r="Y343" s="100"/>
    </row>
    <row r="344" spans="1:25" ht="30">
      <c r="A344" s="91">
        <v>341</v>
      </c>
      <c r="B344" s="92" t="s">
        <v>943</v>
      </c>
      <c r="C344" s="69" t="s">
        <v>944</v>
      </c>
      <c r="D344" s="93" t="s">
        <v>28</v>
      </c>
      <c r="E344" s="94" t="s">
        <v>28</v>
      </c>
      <c r="F344" s="68" t="s">
        <v>536</v>
      </c>
      <c r="G344" s="107" t="s">
        <v>30</v>
      </c>
      <c r="H344" s="33">
        <f>0.3048*340</f>
        <v>103.63200000000001</v>
      </c>
      <c r="I344" s="131">
        <v>1000000</v>
      </c>
      <c r="J344" s="96" t="s">
        <v>31</v>
      </c>
      <c r="K344" s="15"/>
      <c r="L344" s="54"/>
      <c r="M344" s="38"/>
      <c r="N344" s="115" t="s">
        <v>107</v>
      </c>
      <c r="O344" s="115" t="s">
        <v>107</v>
      </c>
      <c r="P344" s="115" t="s">
        <v>107</v>
      </c>
      <c r="Q344" s="115" t="s">
        <v>107</v>
      </c>
      <c r="R344" s="115" t="s">
        <v>107</v>
      </c>
      <c r="S344" s="115" t="s">
        <v>107</v>
      </c>
      <c r="T344" s="115" t="s">
        <v>107</v>
      </c>
      <c r="U344" s="115" t="s">
        <v>107</v>
      </c>
      <c r="V344" s="115" t="s">
        <v>107</v>
      </c>
      <c r="W344" s="234">
        <v>1</v>
      </c>
      <c r="X344" s="99"/>
      <c r="Y344" s="100"/>
    </row>
    <row r="345" spans="1:25" s="51" customFormat="1" ht="45">
      <c r="A345" s="39" t="s">
        <v>945</v>
      </c>
      <c r="B345" s="85" t="s">
        <v>946</v>
      </c>
      <c r="C345" s="82" t="s">
        <v>947</v>
      </c>
      <c r="D345" s="41" t="s">
        <v>28</v>
      </c>
      <c r="E345" s="42" t="s">
        <v>28</v>
      </c>
      <c r="F345" s="18" t="s">
        <v>392</v>
      </c>
      <c r="G345" s="43" t="s">
        <v>92</v>
      </c>
      <c r="H345" s="22"/>
      <c r="I345" s="90">
        <v>500000</v>
      </c>
      <c r="J345" s="21" t="s">
        <v>31</v>
      </c>
      <c r="K345" s="18"/>
      <c r="L345" s="53"/>
      <c r="M345" s="22"/>
      <c r="N345" s="115" t="s">
        <v>107</v>
      </c>
      <c r="O345" s="115" t="s">
        <v>107</v>
      </c>
      <c r="P345" s="115" t="s">
        <v>107</v>
      </c>
      <c r="Q345" s="208">
        <v>1</v>
      </c>
      <c r="R345" s="115" t="s">
        <v>107</v>
      </c>
      <c r="S345" s="115" t="s">
        <v>107</v>
      </c>
      <c r="T345" s="49"/>
      <c r="U345" s="49"/>
      <c r="V345" s="49"/>
      <c r="W345" s="89"/>
      <c r="X345" s="49"/>
      <c r="Y345" s="50"/>
    </row>
    <row r="346" spans="1:25" ht="45">
      <c r="A346" s="91">
        <v>343</v>
      </c>
      <c r="B346" s="92" t="s">
        <v>948</v>
      </c>
      <c r="C346" s="69" t="s">
        <v>949</v>
      </c>
      <c r="D346" s="93" t="s">
        <v>28</v>
      </c>
      <c r="E346" s="94" t="s">
        <v>28</v>
      </c>
      <c r="F346" s="15"/>
      <c r="G346" s="107" t="s">
        <v>30</v>
      </c>
      <c r="H346" s="38"/>
      <c r="I346" s="131">
        <v>1000000</v>
      </c>
      <c r="J346" s="96" t="s">
        <v>31</v>
      </c>
      <c r="K346" s="15"/>
      <c r="L346" s="54"/>
      <c r="M346" s="38"/>
      <c r="N346" s="132">
        <v>1</v>
      </c>
      <c r="O346" s="132"/>
      <c r="P346" s="102"/>
      <c r="Q346" s="102"/>
      <c r="R346" s="132"/>
      <c r="S346" s="133"/>
      <c r="T346" s="97"/>
      <c r="U346" s="97"/>
      <c r="V346" s="97"/>
      <c r="W346" s="133"/>
      <c r="X346" s="99"/>
      <c r="Y346" s="100" t="s">
        <v>924</v>
      </c>
    </row>
    <row r="347" spans="1:25" ht="30">
      <c r="A347" s="91">
        <v>344</v>
      </c>
      <c r="B347" s="92" t="s">
        <v>950</v>
      </c>
      <c r="C347" s="69" t="s">
        <v>951</v>
      </c>
      <c r="D347" s="93" t="s">
        <v>28</v>
      </c>
      <c r="E347" s="94" t="s">
        <v>28</v>
      </c>
      <c r="F347" s="68" t="s">
        <v>536</v>
      </c>
      <c r="G347" s="107" t="s">
        <v>30</v>
      </c>
      <c r="H347" s="38">
        <f>0.3048*480</f>
        <v>146.304</v>
      </c>
      <c r="I347" s="131">
        <v>1000000</v>
      </c>
      <c r="J347" s="96" t="s">
        <v>31</v>
      </c>
      <c r="K347" s="15"/>
      <c r="L347" s="54"/>
      <c r="M347" s="38"/>
      <c r="N347" s="132" t="s">
        <v>107</v>
      </c>
      <c r="O347" s="132" t="s">
        <v>107</v>
      </c>
      <c r="P347" s="132" t="s">
        <v>107</v>
      </c>
      <c r="Q347" s="132" t="s">
        <v>107</v>
      </c>
      <c r="R347" s="132" t="s">
        <v>107</v>
      </c>
      <c r="S347" s="132" t="s">
        <v>107</v>
      </c>
      <c r="T347" s="132" t="s">
        <v>107</v>
      </c>
      <c r="U347" s="132" t="s">
        <v>107</v>
      </c>
      <c r="V347" s="132" t="s">
        <v>107</v>
      </c>
      <c r="W347" s="234">
        <v>1</v>
      </c>
      <c r="X347" s="99"/>
      <c r="Y347" s="100"/>
    </row>
    <row r="348" spans="1:25" ht="30">
      <c r="A348" s="91">
        <v>345</v>
      </c>
      <c r="B348" s="92" t="s">
        <v>952</v>
      </c>
      <c r="C348" s="69" t="s">
        <v>953</v>
      </c>
      <c r="D348" s="93" t="s">
        <v>28</v>
      </c>
      <c r="E348" s="94" t="s">
        <v>28</v>
      </c>
      <c r="F348" s="68" t="s">
        <v>536</v>
      </c>
      <c r="G348" s="107" t="s">
        <v>30</v>
      </c>
      <c r="H348" s="38">
        <f>0.3048*340</f>
        <v>103.63200000000001</v>
      </c>
      <c r="I348" s="131">
        <v>1000000</v>
      </c>
      <c r="J348" s="96" t="s">
        <v>31</v>
      </c>
      <c r="K348" s="15"/>
      <c r="L348" s="54"/>
      <c r="M348" s="38"/>
      <c r="N348" s="132" t="s">
        <v>107</v>
      </c>
      <c r="O348" s="132" t="s">
        <v>107</v>
      </c>
      <c r="P348" s="132" t="s">
        <v>107</v>
      </c>
      <c r="Q348" s="132" t="s">
        <v>107</v>
      </c>
      <c r="R348" s="115">
        <v>1</v>
      </c>
      <c r="S348" s="133"/>
      <c r="T348" s="97"/>
      <c r="U348" s="97"/>
      <c r="V348" s="97"/>
      <c r="W348" s="133"/>
      <c r="X348" s="99"/>
      <c r="Y348" s="100"/>
    </row>
    <row r="349" spans="1:25" ht="30">
      <c r="A349" s="91">
        <v>346</v>
      </c>
      <c r="B349" s="92" t="s">
        <v>954</v>
      </c>
      <c r="C349" s="69" t="s">
        <v>955</v>
      </c>
      <c r="D349" s="93" t="s">
        <v>28</v>
      </c>
      <c r="E349" s="94" t="s">
        <v>28</v>
      </c>
      <c r="F349" s="68" t="s">
        <v>956</v>
      </c>
      <c r="G349" s="107" t="s">
        <v>30</v>
      </c>
      <c r="H349" s="38"/>
      <c r="I349" s="131">
        <v>1000000</v>
      </c>
      <c r="J349" s="96" t="s">
        <v>31</v>
      </c>
      <c r="K349" s="15"/>
      <c r="L349" s="54"/>
      <c r="M349" s="38"/>
      <c r="N349" s="132">
        <v>1</v>
      </c>
      <c r="O349" s="132"/>
      <c r="P349" s="102"/>
      <c r="Q349" s="102"/>
      <c r="R349" s="132"/>
      <c r="S349" s="133"/>
      <c r="T349" s="97"/>
      <c r="U349" s="97"/>
      <c r="V349" s="97"/>
      <c r="W349" s="133"/>
      <c r="X349" s="99"/>
      <c r="Y349" s="100"/>
    </row>
    <row r="350" spans="1:25" ht="30">
      <c r="A350" s="91">
        <v>347</v>
      </c>
      <c r="B350" s="92" t="s">
        <v>957</v>
      </c>
      <c r="C350" s="69" t="s">
        <v>958</v>
      </c>
      <c r="D350" s="93" t="s">
        <v>28</v>
      </c>
      <c r="E350" s="94" t="s">
        <v>28</v>
      </c>
      <c r="F350" s="68" t="s">
        <v>959</v>
      </c>
      <c r="G350" s="107" t="s">
        <v>30</v>
      </c>
      <c r="H350" s="38"/>
      <c r="I350" s="131">
        <v>1000000</v>
      </c>
      <c r="J350" s="96" t="s">
        <v>31</v>
      </c>
      <c r="K350" s="15"/>
      <c r="L350" s="54"/>
      <c r="M350" s="38"/>
      <c r="N350" s="132">
        <v>1</v>
      </c>
      <c r="O350" s="132"/>
      <c r="P350" s="102"/>
      <c r="Q350" s="102"/>
      <c r="R350" s="132"/>
      <c r="S350" s="133"/>
      <c r="T350" s="97"/>
      <c r="U350" s="97"/>
      <c r="V350" s="97"/>
      <c r="W350" s="133"/>
      <c r="X350" s="99"/>
      <c r="Y350" s="100"/>
    </row>
    <row r="351" spans="1:25" ht="30">
      <c r="A351" s="91">
        <v>348</v>
      </c>
      <c r="B351" s="92" t="s">
        <v>960</v>
      </c>
      <c r="C351" s="69" t="s">
        <v>961</v>
      </c>
      <c r="D351" s="93" t="s">
        <v>28</v>
      </c>
      <c r="E351" s="94" t="s">
        <v>28</v>
      </c>
      <c r="F351" s="68" t="s">
        <v>959</v>
      </c>
      <c r="G351" s="107" t="s">
        <v>30</v>
      </c>
      <c r="H351" s="38">
        <f>0.3048*380</f>
        <v>115.82400000000001</v>
      </c>
      <c r="I351" s="131">
        <v>1000000</v>
      </c>
      <c r="J351" s="96" t="s">
        <v>31</v>
      </c>
      <c r="K351" s="68" t="s">
        <v>890</v>
      </c>
      <c r="L351" s="54"/>
      <c r="M351" s="38"/>
      <c r="N351" s="132" t="s">
        <v>107</v>
      </c>
      <c r="O351" s="132" t="s">
        <v>107</v>
      </c>
      <c r="P351" s="132" t="s">
        <v>107</v>
      </c>
      <c r="Q351" s="132" t="s">
        <v>107</v>
      </c>
      <c r="R351" s="132" t="s">
        <v>107</v>
      </c>
      <c r="S351" s="132" t="s">
        <v>107</v>
      </c>
      <c r="T351" s="132" t="s">
        <v>107</v>
      </c>
      <c r="U351" s="132" t="s">
        <v>107</v>
      </c>
      <c r="V351" s="132" t="s">
        <v>107</v>
      </c>
      <c r="W351" s="234">
        <v>1</v>
      </c>
      <c r="X351" s="99"/>
      <c r="Y351" s="100"/>
    </row>
    <row r="352" spans="1:25" ht="30">
      <c r="A352" s="91">
        <v>349</v>
      </c>
      <c r="B352" s="92" t="s">
        <v>962</v>
      </c>
      <c r="C352" s="69" t="s">
        <v>963</v>
      </c>
      <c r="D352" s="93" t="s">
        <v>28</v>
      </c>
      <c r="E352" s="94" t="s">
        <v>28</v>
      </c>
      <c r="F352" s="68" t="s">
        <v>854</v>
      </c>
      <c r="G352" s="107" t="s">
        <v>30</v>
      </c>
      <c r="H352" s="38">
        <f>0.3048*431</f>
        <v>131.36879999999999</v>
      </c>
      <c r="I352" s="131">
        <v>1000000</v>
      </c>
      <c r="J352" s="96" t="s">
        <v>31</v>
      </c>
      <c r="K352" s="15"/>
      <c r="L352" s="54"/>
      <c r="M352" s="38"/>
      <c r="N352" s="132"/>
      <c r="O352" s="289"/>
      <c r="P352" s="102"/>
      <c r="Q352" s="102"/>
      <c r="R352" s="132">
        <v>1</v>
      </c>
      <c r="S352" s="133"/>
      <c r="T352" s="99"/>
      <c r="U352" s="99"/>
      <c r="V352" s="99"/>
      <c r="W352" s="133"/>
      <c r="X352" s="99"/>
      <c r="Y352" s="100"/>
    </row>
    <row r="353" spans="1:25" ht="30">
      <c r="A353" s="91">
        <v>350</v>
      </c>
      <c r="B353" s="92" t="s">
        <v>964</v>
      </c>
      <c r="C353" s="69" t="s">
        <v>965</v>
      </c>
      <c r="D353" s="93" t="s">
        <v>28</v>
      </c>
      <c r="E353" s="94" t="s">
        <v>28</v>
      </c>
      <c r="F353" s="68" t="s">
        <v>536</v>
      </c>
      <c r="G353" s="107" t="s">
        <v>30</v>
      </c>
      <c r="H353" s="38">
        <f>(100+300)</f>
        <v>400</v>
      </c>
      <c r="I353" s="131">
        <v>1000000</v>
      </c>
      <c r="J353" s="96" t="s">
        <v>31</v>
      </c>
      <c r="K353" s="15"/>
      <c r="L353" s="54"/>
      <c r="M353" s="38"/>
      <c r="N353" s="132">
        <v>1</v>
      </c>
      <c r="O353" s="132"/>
      <c r="P353" s="102"/>
      <c r="Q353" s="102"/>
      <c r="R353" s="132"/>
      <c r="S353" s="133"/>
      <c r="T353" s="97"/>
      <c r="U353" s="97"/>
      <c r="V353" s="97"/>
      <c r="W353" s="133"/>
      <c r="X353" s="99"/>
      <c r="Y353" s="100"/>
    </row>
    <row r="354" spans="1:25" ht="30">
      <c r="A354" s="91">
        <v>351</v>
      </c>
      <c r="B354" s="92" t="s">
        <v>966</v>
      </c>
      <c r="C354" s="69" t="s">
        <v>967</v>
      </c>
      <c r="D354" s="93" t="s">
        <v>28</v>
      </c>
      <c r="E354" s="94" t="s">
        <v>28</v>
      </c>
      <c r="F354" s="68" t="s">
        <v>536</v>
      </c>
      <c r="G354" s="107" t="s">
        <v>30</v>
      </c>
      <c r="H354" s="38">
        <f>200</f>
        <v>200</v>
      </c>
      <c r="I354" s="131">
        <v>1000000</v>
      </c>
      <c r="J354" s="96" t="s">
        <v>31</v>
      </c>
      <c r="K354" s="15"/>
      <c r="L354" s="54"/>
      <c r="M354" s="38"/>
      <c r="N354" s="132">
        <v>1</v>
      </c>
      <c r="O354" s="132"/>
      <c r="P354" s="102"/>
      <c r="Q354" s="102"/>
      <c r="R354" s="132"/>
      <c r="S354" s="133"/>
      <c r="T354" s="97"/>
      <c r="U354" s="97"/>
      <c r="V354" s="97"/>
      <c r="W354" s="133"/>
      <c r="X354" s="99"/>
      <c r="Y354" s="100"/>
    </row>
    <row r="355" spans="1:25" ht="45">
      <c r="A355" s="91">
        <v>352</v>
      </c>
      <c r="B355" s="92" t="s">
        <v>968</v>
      </c>
      <c r="C355" s="15" t="s">
        <v>969</v>
      </c>
      <c r="D355" s="93" t="s">
        <v>28</v>
      </c>
      <c r="E355" s="94" t="s">
        <v>28</v>
      </c>
      <c r="F355" s="68" t="s">
        <v>536</v>
      </c>
      <c r="G355" s="107" t="s">
        <v>30</v>
      </c>
      <c r="H355" s="38"/>
      <c r="I355" s="131">
        <v>1000000</v>
      </c>
      <c r="J355" s="96" t="s">
        <v>31</v>
      </c>
      <c r="K355" s="15"/>
      <c r="L355" s="54"/>
      <c r="M355" s="38"/>
      <c r="N355" s="132"/>
      <c r="O355" s="132">
        <v>1</v>
      </c>
      <c r="P355" s="102"/>
      <c r="Q355" s="102"/>
      <c r="R355" s="132"/>
      <c r="S355" s="133"/>
      <c r="T355" s="99"/>
      <c r="U355" s="99"/>
      <c r="V355" s="99"/>
      <c r="W355" s="133"/>
      <c r="X355" s="99"/>
      <c r="Y355" s="100"/>
    </row>
    <row r="356" spans="1:25" ht="45">
      <c r="A356" s="91">
        <v>353</v>
      </c>
      <c r="B356" s="92" t="s">
        <v>970</v>
      </c>
      <c r="C356" s="69" t="s">
        <v>971</v>
      </c>
      <c r="D356" s="93" t="s">
        <v>28</v>
      </c>
      <c r="E356" s="94" t="s">
        <v>28</v>
      </c>
      <c r="F356" s="15"/>
      <c r="G356" s="107" t="s">
        <v>30</v>
      </c>
      <c r="H356" s="38"/>
      <c r="I356" s="131">
        <v>2000000</v>
      </c>
      <c r="J356" s="96" t="s">
        <v>31</v>
      </c>
      <c r="K356" s="15"/>
      <c r="L356" s="54"/>
      <c r="M356" s="38"/>
      <c r="N356" s="132">
        <v>1</v>
      </c>
      <c r="O356" s="132"/>
      <c r="P356" s="102"/>
      <c r="Q356" s="102"/>
      <c r="R356" s="132"/>
      <c r="S356" s="133"/>
      <c r="T356" s="97"/>
      <c r="U356" s="97"/>
      <c r="V356" s="97"/>
      <c r="W356" s="133"/>
      <c r="X356" s="99"/>
      <c r="Y356" s="100"/>
    </row>
    <row r="357" spans="1:25" ht="30">
      <c r="A357" s="91">
        <v>354</v>
      </c>
      <c r="B357" s="92" t="s">
        <v>972</v>
      </c>
      <c r="C357" s="69" t="s">
        <v>973</v>
      </c>
      <c r="D357" s="93" t="s">
        <v>28</v>
      </c>
      <c r="E357" s="94" t="s">
        <v>28</v>
      </c>
      <c r="F357" s="68" t="s">
        <v>531</v>
      </c>
      <c r="G357" s="134" t="s">
        <v>974</v>
      </c>
      <c r="H357" s="33" t="s">
        <v>975</v>
      </c>
      <c r="I357" s="131">
        <v>2000000</v>
      </c>
      <c r="J357" s="96" t="s">
        <v>31</v>
      </c>
      <c r="K357" s="15"/>
      <c r="L357" s="54"/>
      <c r="M357" s="38"/>
      <c r="N357" s="132"/>
      <c r="O357" s="132">
        <v>1</v>
      </c>
      <c r="P357" s="102"/>
      <c r="Q357" s="102"/>
      <c r="R357" s="132"/>
      <c r="S357" s="133"/>
      <c r="T357" s="97"/>
      <c r="U357" s="97"/>
      <c r="V357" s="97"/>
      <c r="W357" s="133"/>
      <c r="X357" s="99"/>
      <c r="Y357" s="100"/>
    </row>
    <row r="358" spans="1:25" ht="30">
      <c r="A358" s="91">
        <v>355</v>
      </c>
      <c r="B358" s="92" t="s">
        <v>976</v>
      </c>
      <c r="C358" s="69" t="s">
        <v>977</v>
      </c>
      <c r="D358" s="93" t="s">
        <v>28</v>
      </c>
      <c r="E358" s="94" t="s">
        <v>28</v>
      </c>
      <c r="F358" s="68" t="s">
        <v>531</v>
      </c>
      <c r="G358" s="134" t="s">
        <v>974</v>
      </c>
      <c r="H358" s="33" t="s">
        <v>975</v>
      </c>
      <c r="I358" s="131">
        <v>2000000</v>
      </c>
      <c r="J358" s="96" t="s">
        <v>31</v>
      </c>
      <c r="K358" s="15"/>
      <c r="L358" s="54"/>
      <c r="M358" s="38"/>
      <c r="N358" s="132"/>
      <c r="O358" s="132">
        <v>1</v>
      </c>
      <c r="P358" s="102"/>
      <c r="Q358" s="102"/>
      <c r="R358" s="132"/>
      <c r="S358" s="133"/>
      <c r="T358" s="97"/>
      <c r="U358" s="97"/>
      <c r="V358" s="97"/>
      <c r="W358" s="133"/>
      <c r="X358" s="99"/>
      <c r="Y358" s="100"/>
    </row>
    <row r="359" spans="1:25" ht="60">
      <c r="A359" s="91">
        <v>356</v>
      </c>
      <c r="B359" s="110" t="s">
        <v>978</v>
      </c>
      <c r="C359" s="15" t="s">
        <v>979</v>
      </c>
      <c r="D359" s="93" t="s">
        <v>28</v>
      </c>
      <c r="E359" s="94" t="s">
        <v>28</v>
      </c>
      <c r="F359" s="68" t="s">
        <v>980</v>
      </c>
      <c r="G359" s="134" t="s">
        <v>981</v>
      </c>
      <c r="H359" s="38">
        <v>0</v>
      </c>
      <c r="I359" s="114">
        <v>500000</v>
      </c>
      <c r="J359" s="96" t="s">
        <v>31</v>
      </c>
      <c r="K359" s="68" t="s">
        <v>295</v>
      </c>
      <c r="L359" s="54"/>
      <c r="M359" s="38"/>
      <c r="N359" s="115" t="s">
        <v>107</v>
      </c>
      <c r="O359" s="115" t="s">
        <v>107</v>
      </c>
      <c r="P359" s="115" t="s">
        <v>107</v>
      </c>
      <c r="Q359" s="115" t="s">
        <v>107</v>
      </c>
      <c r="R359" s="115" t="s">
        <v>107</v>
      </c>
      <c r="S359" s="115">
        <v>1</v>
      </c>
      <c r="T359" s="99"/>
      <c r="U359" s="99"/>
      <c r="V359" s="99"/>
      <c r="W359" s="116"/>
      <c r="X359" s="99"/>
      <c r="Y359" s="100"/>
    </row>
    <row r="360" spans="1:25" ht="60">
      <c r="A360" s="91">
        <v>357</v>
      </c>
      <c r="B360" s="110" t="s">
        <v>982</v>
      </c>
      <c r="C360" s="15" t="s">
        <v>983</v>
      </c>
      <c r="D360" s="93" t="s">
        <v>28</v>
      </c>
      <c r="E360" s="94" t="s">
        <v>28</v>
      </c>
      <c r="F360" s="68" t="s">
        <v>984</v>
      </c>
      <c r="G360" s="134" t="s">
        <v>906</v>
      </c>
      <c r="H360" s="33" t="s">
        <v>985</v>
      </c>
      <c r="I360" s="114">
        <v>500000</v>
      </c>
      <c r="J360" s="96" t="s">
        <v>31</v>
      </c>
      <c r="K360" s="68" t="s">
        <v>986</v>
      </c>
      <c r="L360" s="54">
        <v>485000</v>
      </c>
      <c r="M360" s="194">
        <f t="shared" ref="M360:M361" si="44">L360/(I360-I360*3%)</f>
        <v>1</v>
      </c>
      <c r="N360" s="233" t="s">
        <v>107</v>
      </c>
      <c r="O360" s="233" t="s">
        <v>107</v>
      </c>
      <c r="P360" s="233" t="s">
        <v>107</v>
      </c>
      <c r="Q360" s="233" t="s">
        <v>107</v>
      </c>
      <c r="R360" s="233" t="s">
        <v>107</v>
      </c>
      <c r="S360" s="233" t="s">
        <v>107</v>
      </c>
      <c r="T360" s="233" t="s">
        <v>107</v>
      </c>
      <c r="U360" s="233">
        <f t="shared" ref="U360:V367" si="45">-U361</f>
        <v>0</v>
      </c>
      <c r="V360" s="233">
        <f t="shared" si="45"/>
        <v>0</v>
      </c>
      <c r="W360" s="234">
        <v>1</v>
      </c>
      <c r="X360" s="99"/>
      <c r="Y360" s="100"/>
    </row>
    <row r="361" spans="1:25" ht="45">
      <c r="A361" s="91">
        <v>358</v>
      </c>
      <c r="B361" s="110" t="s">
        <v>987</v>
      </c>
      <c r="C361" s="15" t="s">
        <v>204</v>
      </c>
      <c r="D361" s="93" t="s">
        <v>28</v>
      </c>
      <c r="E361" s="94" t="s">
        <v>28</v>
      </c>
      <c r="F361" s="68" t="s">
        <v>779</v>
      </c>
      <c r="G361" s="134" t="s">
        <v>906</v>
      </c>
      <c r="H361" s="290">
        <f>0.3048*(80+50)</f>
        <v>39.624000000000002</v>
      </c>
      <c r="I361" s="114">
        <v>1000000</v>
      </c>
      <c r="J361" s="96" t="s">
        <v>31</v>
      </c>
      <c r="K361" s="68" t="s">
        <v>200</v>
      </c>
      <c r="L361" s="54">
        <f>970000</f>
        <v>970000</v>
      </c>
      <c r="M361" s="194">
        <f t="shared" si="44"/>
        <v>1</v>
      </c>
      <c r="N361" s="233" t="s">
        <v>107</v>
      </c>
      <c r="O361" s="233" t="s">
        <v>107</v>
      </c>
      <c r="P361" s="233" t="s">
        <v>107</v>
      </c>
      <c r="Q361" s="233" t="s">
        <v>107</v>
      </c>
      <c r="R361" s="233" t="s">
        <v>107</v>
      </c>
      <c r="S361" s="233" t="s">
        <v>107</v>
      </c>
      <c r="T361" s="233" t="s">
        <v>107</v>
      </c>
      <c r="U361" s="233">
        <f t="shared" si="45"/>
        <v>0</v>
      </c>
      <c r="V361" s="233">
        <f t="shared" si="45"/>
        <v>0</v>
      </c>
      <c r="W361" s="234">
        <v>1</v>
      </c>
      <c r="X361" s="99"/>
      <c r="Y361" s="100"/>
    </row>
    <row r="362" spans="1:25" ht="30">
      <c r="A362" s="91">
        <v>359</v>
      </c>
      <c r="B362" s="110" t="s">
        <v>988</v>
      </c>
      <c r="C362" s="15" t="s">
        <v>989</v>
      </c>
      <c r="D362" s="93" t="s">
        <v>28</v>
      </c>
      <c r="E362" s="94" t="s">
        <v>28</v>
      </c>
      <c r="F362" s="68" t="s">
        <v>779</v>
      </c>
      <c r="G362" s="134" t="s">
        <v>906</v>
      </c>
      <c r="H362" s="68">
        <f>0.3048*(78.25*20.75)</f>
        <v>494.89995000000005</v>
      </c>
      <c r="I362" s="114">
        <v>500000</v>
      </c>
      <c r="J362" s="96" t="s">
        <v>31</v>
      </c>
      <c r="K362" s="68" t="s">
        <v>197</v>
      </c>
      <c r="L362" s="54"/>
      <c r="M362" s="38"/>
      <c r="N362" s="233" t="s">
        <v>107</v>
      </c>
      <c r="O362" s="233" t="s">
        <v>107</v>
      </c>
      <c r="P362" s="233" t="s">
        <v>107</v>
      </c>
      <c r="Q362" s="233" t="s">
        <v>107</v>
      </c>
      <c r="R362" s="233" t="s">
        <v>107</v>
      </c>
      <c r="S362" s="233" t="s">
        <v>107</v>
      </c>
      <c r="T362" s="233" t="s">
        <v>107</v>
      </c>
      <c r="U362" s="233">
        <f t="shared" si="45"/>
        <v>0</v>
      </c>
      <c r="V362" s="233">
        <f t="shared" si="45"/>
        <v>0</v>
      </c>
      <c r="W362" s="234">
        <v>1</v>
      </c>
      <c r="X362" s="99"/>
      <c r="Y362" s="100"/>
    </row>
    <row r="363" spans="1:25" ht="42.75">
      <c r="A363" s="91">
        <v>360</v>
      </c>
      <c r="B363" s="110" t="s">
        <v>990</v>
      </c>
      <c r="C363" s="15" t="s">
        <v>991</v>
      </c>
      <c r="D363" s="93" t="s">
        <v>28</v>
      </c>
      <c r="E363" s="94" t="s">
        <v>28</v>
      </c>
      <c r="F363" s="244" t="s">
        <v>251</v>
      </c>
      <c r="G363" s="134" t="s">
        <v>906</v>
      </c>
      <c r="H363" s="38"/>
      <c r="I363" s="114">
        <v>1000000</v>
      </c>
      <c r="J363" s="96" t="s">
        <v>31</v>
      </c>
      <c r="K363" s="15"/>
      <c r="L363" s="54"/>
      <c r="M363" s="38"/>
      <c r="N363" s="233" t="s">
        <v>107</v>
      </c>
      <c r="O363" s="233" t="s">
        <v>107</v>
      </c>
      <c r="P363" s="233" t="s">
        <v>107</v>
      </c>
      <c r="Q363" s="233" t="s">
        <v>107</v>
      </c>
      <c r="R363" s="233" t="s">
        <v>107</v>
      </c>
      <c r="S363" s="233" t="s">
        <v>107</v>
      </c>
      <c r="T363" s="233" t="s">
        <v>107</v>
      </c>
      <c r="U363" s="233">
        <f t="shared" si="45"/>
        <v>0</v>
      </c>
      <c r="V363" s="233">
        <f t="shared" si="45"/>
        <v>0</v>
      </c>
      <c r="W363" s="234">
        <v>1</v>
      </c>
      <c r="X363" s="99"/>
      <c r="Y363" s="100"/>
    </row>
    <row r="364" spans="1:25" ht="60">
      <c r="A364" s="91">
        <v>361</v>
      </c>
      <c r="B364" s="110" t="s">
        <v>992</v>
      </c>
      <c r="C364" s="15" t="s">
        <v>993</v>
      </c>
      <c r="D364" s="93" t="s">
        <v>28</v>
      </c>
      <c r="E364" s="94" t="s">
        <v>28</v>
      </c>
      <c r="F364" s="68" t="s">
        <v>556</v>
      </c>
      <c r="G364" s="134" t="s">
        <v>906</v>
      </c>
      <c r="H364" s="38"/>
      <c r="I364" s="55">
        <v>1000000</v>
      </c>
      <c r="J364" s="96" t="s">
        <v>31</v>
      </c>
      <c r="K364" s="68" t="s">
        <v>994</v>
      </c>
      <c r="L364" s="54"/>
      <c r="M364" s="38"/>
      <c r="N364" s="233" t="s">
        <v>107</v>
      </c>
      <c r="O364" s="233" t="s">
        <v>107</v>
      </c>
      <c r="P364" s="233" t="s">
        <v>107</v>
      </c>
      <c r="Q364" s="233" t="s">
        <v>107</v>
      </c>
      <c r="R364" s="233" t="s">
        <v>107</v>
      </c>
      <c r="S364" s="233" t="s">
        <v>107</v>
      </c>
      <c r="T364" s="233" t="s">
        <v>107</v>
      </c>
      <c r="U364" s="233">
        <f t="shared" si="45"/>
        <v>0</v>
      </c>
      <c r="V364" s="233">
        <f t="shared" si="45"/>
        <v>0</v>
      </c>
      <c r="W364" s="234">
        <v>1</v>
      </c>
      <c r="X364" s="99"/>
      <c r="Y364" s="100"/>
    </row>
    <row r="365" spans="1:25" ht="45">
      <c r="A365" s="91">
        <v>362</v>
      </c>
      <c r="B365" s="110" t="s">
        <v>995</v>
      </c>
      <c r="C365" s="15" t="s">
        <v>996</v>
      </c>
      <c r="D365" s="93" t="s">
        <v>28</v>
      </c>
      <c r="E365" s="94" t="s">
        <v>28</v>
      </c>
      <c r="F365" s="15" t="s">
        <v>997</v>
      </c>
      <c r="G365" s="134" t="s">
        <v>906</v>
      </c>
      <c r="H365" s="33">
        <f>0.3048*(50+92+37)</f>
        <v>54.559200000000004</v>
      </c>
      <c r="I365" s="55">
        <v>500000</v>
      </c>
      <c r="J365" s="96" t="s">
        <v>31</v>
      </c>
      <c r="K365" s="68" t="s">
        <v>256</v>
      </c>
      <c r="L365" s="54">
        <f>485000</f>
        <v>485000</v>
      </c>
      <c r="M365" s="194">
        <f t="shared" ref="M365:M366" si="46">L365/(I365-I365*3%)</f>
        <v>1</v>
      </c>
      <c r="N365" s="233" t="s">
        <v>107</v>
      </c>
      <c r="O365" s="233" t="s">
        <v>107</v>
      </c>
      <c r="P365" s="233" t="s">
        <v>107</v>
      </c>
      <c r="Q365" s="233" t="s">
        <v>107</v>
      </c>
      <c r="R365" s="233" t="s">
        <v>107</v>
      </c>
      <c r="S365" s="233" t="s">
        <v>107</v>
      </c>
      <c r="T365" s="233" t="s">
        <v>107</v>
      </c>
      <c r="U365" s="233">
        <f t="shared" si="45"/>
        <v>0</v>
      </c>
      <c r="V365" s="233">
        <f t="shared" si="45"/>
        <v>0</v>
      </c>
      <c r="W365" s="234">
        <v>1</v>
      </c>
      <c r="X365" s="99"/>
      <c r="Y365" s="100"/>
    </row>
    <row r="366" spans="1:25" ht="45">
      <c r="A366" s="91">
        <v>363</v>
      </c>
      <c r="B366" s="110" t="s">
        <v>998</v>
      </c>
      <c r="C366" s="15" t="s">
        <v>999</v>
      </c>
      <c r="D366" s="93" t="s">
        <v>28</v>
      </c>
      <c r="E366" s="94" t="s">
        <v>28</v>
      </c>
      <c r="F366" s="15" t="s">
        <v>997</v>
      </c>
      <c r="G366" s="134" t="s">
        <v>906</v>
      </c>
      <c r="H366" s="33">
        <f>0.3048*167</f>
        <v>50.901600000000002</v>
      </c>
      <c r="I366" s="114">
        <v>500000</v>
      </c>
      <c r="J366" s="96" t="s">
        <v>31</v>
      </c>
      <c r="K366" s="68" t="s">
        <v>256</v>
      </c>
      <c r="L366" s="54">
        <f>485000</f>
        <v>485000</v>
      </c>
      <c r="M366" s="194">
        <f t="shared" si="46"/>
        <v>1</v>
      </c>
      <c r="N366" s="233" t="s">
        <v>107</v>
      </c>
      <c r="O366" s="233" t="s">
        <v>107</v>
      </c>
      <c r="P366" s="233" t="s">
        <v>107</v>
      </c>
      <c r="Q366" s="233" t="s">
        <v>107</v>
      </c>
      <c r="R366" s="233" t="s">
        <v>107</v>
      </c>
      <c r="S366" s="233" t="s">
        <v>107</v>
      </c>
      <c r="T366" s="233" t="s">
        <v>107</v>
      </c>
      <c r="U366" s="233">
        <f t="shared" si="45"/>
        <v>0</v>
      </c>
      <c r="V366" s="233">
        <f t="shared" si="45"/>
        <v>0</v>
      </c>
      <c r="W366" s="234">
        <v>1</v>
      </c>
      <c r="X366" s="99"/>
      <c r="Y366" s="100"/>
    </row>
    <row r="367" spans="1:25" ht="30">
      <c r="A367" s="91">
        <v>364</v>
      </c>
      <c r="B367" s="110" t="s">
        <v>1000</v>
      </c>
      <c r="C367" s="15" t="s">
        <v>1001</v>
      </c>
      <c r="D367" s="93" t="s">
        <v>28</v>
      </c>
      <c r="E367" s="94" t="s">
        <v>28</v>
      </c>
      <c r="F367" s="68" t="s">
        <v>302</v>
      </c>
      <c r="G367" s="134" t="s">
        <v>906</v>
      </c>
      <c r="H367" s="38"/>
      <c r="I367" s="114">
        <v>200000</v>
      </c>
      <c r="J367" s="96" t="s">
        <v>31</v>
      </c>
      <c r="K367" s="15"/>
      <c r="L367" s="54"/>
      <c r="M367" s="38"/>
      <c r="N367" s="233" t="s">
        <v>107</v>
      </c>
      <c r="O367" s="233" t="s">
        <v>107</v>
      </c>
      <c r="P367" s="233" t="s">
        <v>107</v>
      </c>
      <c r="Q367" s="233" t="s">
        <v>107</v>
      </c>
      <c r="R367" s="233" t="s">
        <v>107</v>
      </c>
      <c r="S367" s="233" t="s">
        <v>107</v>
      </c>
      <c r="T367" s="233" t="s">
        <v>107</v>
      </c>
      <c r="U367" s="233">
        <f t="shared" si="45"/>
        <v>0</v>
      </c>
      <c r="V367" s="233">
        <f t="shared" si="45"/>
        <v>0</v>
      </c>
      <c r="W367" s="234">
        <v>1</v>
      </c>
      <c r="X367" s="99"/>
      <c r="Y367" s="100"/>
    </row>
    <row r="368" spans="1:25" ht="30">
      <c r="A368" s="91">
        <v>365</v>
      </c>
      <c r="B368" s="110" t="s">
        <v>1002</v>
      </c>
      <c r="C368" s="15" t="s">
        <v>1003</v>
      </c>
      <c r="D368" s="93" t="s">
        <v>28</v>
      </c>
      <c r="E368" s="94" t="s">
        <v>28</v>
      </c>
      <c r="F368" s="68" t="s">
        <v>792</v>
      </c>
      <c r="G368" s="134" t="s">
        <v>906</v>
      </c>
      <c r="H368" s="38"/>
      <c r="I368" s="114">
        <v>450000</v>
      </c>
      <c r="J368" s="96" t="s">
        <v>31</v>
      </c>
      <c r="K368" s="15"/>
      <c r="L368" s="54"/>
      <c r="M368" s="38"/>
      <c r="N368" s="115">
        <v>1</v>
      </c>
      <c r="O368" s="115"/>
      <c r="P368" s="102"/>
      <c r="Q368" s="102"/>
      <c r="R368" s="115"/>
      <c r="S368" s="116"/>
      <c r="T368" s="97"/>
      <c r="U368" s="97"/>
      <c r="V368" s="97"/>
      <c r="W368" s="116"/>
      <c r="X368" s="99"/>
      <c r="Y368" s="100" t="s">
        <v>1004</v>
      </c>
    </row>
    <row r="369" spans="1:26" ht="45">
      <c r="A369" s="91">
        <v>366</v>
      </c>
      <c r="B369" s="110" t="s">
        <v>1005</v>
      </c>
      <c r="C369" s="111" t="s">
        <v>1006</v>
      </c>
      <c r="D369" s="93" t="s">
        <v>28</v>
      </c>
      <c r="E369" s="94" t="s">
        <v>28</v>
      </c>
      <c r="F369" s="111" t="s">
        <v>392</v>
      </c>
      <c r="G369" s="134" t="s">
        <v>906</v>
      </c>
      <c r="H369" s="22">
        <f>0.3048*85</f>
        <v>25.908000000000001</v>
      </c>
      <c r="I369" s="114">
        <v>500000</v>
      </c>
      <c r="J369" s="96" t="s">
        <v>31</v>
      </c>
      <c r="K369" s="68" t="s">
        <v>1007</v>
      </c>
      <c r="L369" s="54"/>
      <c r="M369" s="38"/>
      <c r="N369" s="135" t="s">
        <v>107</v>
      </c>
      <c r="O369" s="135"/>
      <c r="P369" s="135" t="s">
        <v>107</v>
      </c>
      <c r="Q369" s="135" t="s">
        <v>107</v>
      </c>
      <c r="R369" s="115">
        <v>1</v>
      </c>
      <c r="S369" s="116"/>
      <c r="T369" s="99"/>
      <c r="U369" s="99"/>
      <c r="V369" s="99"/>
      <c r="W369" s="116"/>
      <c r="X369" s="99"/>
      <c r="Y369" s="100"/>
    </row>
    <row r="370" spans="1:26" s="51" customFormat="1" ht="45">
      <c r="A370" s="39" t="s">
        <v>1008</v>
      </c>
      <c r="B370" s="40" t="s">
        <v>1009</v>
      </c>
      <c r="C370" s="18" t="s">
        <v>1010</v>
      </c>
      <c r="D370" s="41" t="s">
        <v>28</v>
      </c>
      <c r="E370" s="42" t="s">
        <v>28</v>
      </c>
      <c r="F370" s="18" t="s">
        <v>392</v>
      </c>
      <c r="G370" s="64" t="s">
        <v>30</v>
      </c>
      <c r="H370" s="22">
        <f>0.3048*390</f>
        <v>118.872</v>
      </c>
      <c r="I370" s="65">
        <v>1000000</v>
      </c>
      <c r="J370" s="21" t="s">
        <v>31</v>
      </c>
      <c r="K370" s="18"/>
      <c r="L370" s="53"/>
      <c r="M370" s="22"/>
      <c r="N370" s="233" t="s">
        <v>107</v>
      </c>
      <c r="O370" s="233" t="s">
        <v>107</v>
      </c>
      <c r="P370" s="233" t="s">
        <v>107</v>
      </c>
      <c r="Q370" s="233" t="s">
        <v>107</v>
      </c>
      <c r="R370" s="233" t="s">
        <v>107</v>
      </c>
      <c r="S370" s="233">
        <v>1</v>
      </c>
      <c r="T370" s="233"/>
      <c r="U370" s="233"/>
      <c r="V370" s="233"/>
      <c r="W370" s="234"/>
      <c r="X370" s="49"/>
      <c r="Y370" s="50"/>
    </row>
    <row r="371" spans="1:26" ht="60">
      <c r="A371" s="91">
        <v>368</v>
      </c>
      <c r="B371" s="110" t="s">
        <v>1011</v>
      </c>
      <c r="C371" s="111" t="s">
        <v>1012</v>
      </c>
      <c r="D371" s="93" t="s">
        <v>28</v>
      </c>
      <c r="E371" s="94" t="s">
        <v>28</v>
      </c>
      <c r="F371" s="291" t="s">
        <v>1013</v>
      </c>
      <c r="G371" s="134" t="s">
        <v>906</v>
      </c>
      <c r="H371" s="33">
        <v>0</v>
      </c>
      <c r="I371" s="114">
        <v>400000</v>
      </c>
      <c r="J371" s="96" t="s">
        <v>31</v>
      </c>
      <c r="K371" s="68" t="s">
        <v>1014</v>
      </c>
      <c r="L371" s="54">
        <v>388000</v>
      </c>
      <c r="M371" s="194">
        <f t="shared" ref="M371:M373" si="47">L371/(I371-I371*3%)</f>
        <v>1</v>
      </c>
      <c r="N371" s="233" t="s">
        <v>107</v>
      </c>
      <c r="O371" s="233" t="s">
        <v>107</v>
      </c>
      <c r="P371" s="233" t="s">
        <v>107</v>
      </c>
      <c r="Q371" s="233" t="s">
        <v>107</v>
      </c>
      <c r="R371" s="233" t="s">
        <v>107</v>
      </c>
      <c r="S371" s="233" t="s">
        <v>107</v>
      </c>
      <c r="T371" s="233" t="s">
        <v>107</v>
      </c>
      <c r="U371" s="233">
        <f t="shared" ref="U371:V373" si="48">-U372</f>
        <v>0</v>
      </c>
      <c r="V371" s="233">
        <f t="shared" si="48"/>
        <v>0</v>
      </c>
      <c r="W371" s="234">
        <v>1</v>
      </c>
      <c r="X371" s="99"/>
      <c r="Y371" s="100"/>
      <c r="Z371" s="3" t="e">
        <f>SUBTOTAL(9,#REF!)</f>
        <v>#REF!</v>
      </c>
    </row>
    <row r="372" spans="1:26" ht="30">
      <c r="A372" s="91">
        <v>369</v>
      </c>
      <c r="B372" s="110" t="s">
        <v>1015</v>
      </c>
      <c r="C372" s="111" t="s">
        <v>1016</v>
      </c>
      <c r="D372" s="93" t="s">
        <v>28</v>
      </c>
      <c r="E372" s="94" t="s">
        <v>28</v>
      </c>
      <c r="F372" s="68" t="s">
        <v>956</v>
      </c>
      <c r="G372" s="134" t="s">
        <v>906</v>
      </c>
      <c r="H372" s="33">
        <v>0</v>
      </c>
      <c r="I372" s="114">
        <v>600000</v>
      </c>
      <c r="J372" s="96" t="s">
        <v>31</v>
      </c>
      <c r="K372" s="68" t="s">
        <v>1017</v>
      </c>
      <c r="L372" s="54">
        <v>582000</v>
      </c>
      <c r="M372" s="194">
        <f t="shared" si="47"/>
        <v>1</v>
      </c>
      <c r="N372" s="233" t="s">
        <v>107</v>
      </c>
      <c r="O372" s="233" t="s">
        <v>107</v>
      </c>
      <c r="P372" s="233" t="s">
        <v>107</v>
      </c>
      <c r="Q372" s="233" t="s">
        <v>107</v>
      </c>
      <c r="R372" s="233" t="s">
        <v>107</v>
      </c>
      <c r="S372" s="233" t="s">
        <v>107</v>
      </c>
      <c r="T372" s="233" t="s">
        <v>107</v>
      </c>
      <c r="U372" s="233">
        <f t="shared" si="48"/>
        <v>0</v>
      </c>
      <c r="V372" s="233">
        <f t="shared" si="48"/>
        <v>0</v>
      </c>
      <c r="W372" s="115">
        <v>1</v>
      </c>
      <c r="X372" s="99"/>
      <c r="Y372" s="100"/>
    </row>
    <row r="373" spans="1:26" ht="60">
      <c r="A373" s="91">
        <v>370</v>
      </c>
      <c r="B373" s="110" t="s">
        <v>1018</v>
      </c>
      <c r="C373" s="38" t="s">
        <v>1019</v>
      </c>
      <c r="D373" s="93" t="s">
        <v>28</v>
      </c>
      <c r="E373" s="94" t="s">
        <v>28</v>
      </c>
      <c r="F373" s="292" t="s">
        <v>483</v>
      </c>
      <c r="G373" s="134" t="s">
        <v>906</v>
      </c>
      <c r="H373" s="33">
        <f>0.3048*183</f>
        <v>55.778400000000005</v>
      </c>
      <c r="I373" s="114">
        <v>750000</v>
      </c>
      <c r="J373" s="96" t="s">
        <v>31</v>
      </c>
      <c r="K373" s="68" t="s">
        <v>1020</v>
      </c>
      <c r="L373" s="54">
        <v>727500</v>
      </c>
      <c r="M373" s="194">
        <f t="shared" si="47"/>
        <v>1</v>
      </c>
      <c r="N373" s="233" t="s">
        <v>107</v>
      </c>
      <c r="O373" s="233" t="s">
        <v>107</v>
      </c>
      <c r="P373" s="233" t="s">
        <v>107</v>
      </c>
      <c r="Q373" s="233" t="s">
        <v>107</v>
      </c>
      <c r="R373" s="233" t="s">
        <v>107</v>
      </c>
      <c r="S373" s="233" t="s">
        <v>107</v>
      </c>
      <c r="T373" s="233" t="s">
        <v>107</v>
      </c>
      <c r="U373" s="233">
        <f t="shared" si="48"/>
        <v>0</v>
      </c>
      <c r="V373" s="233">
        <f t="shared" si="48"/>
        <v>0</v>
      </c>
      <c r="W373" s="234">
        <v>1</v>
      </c>
      <c r="X373" s="99"/>
      <c r="Y373" s="100"/>
    </row>
    <row r="374" spans="1:26" ht="60">
      <c r="A374" s="91">
        <v>371</v>
      </c>
      <c r="B374" s="110" t="s">
        <v>1021</v>
      </c>
      <c r="C374" s="111" t="s">
        <v>1022</v>
      </c>
      <c r="D374" s="93" t="s">
        <v>28</v>
      </c>
      <c r="E374" s="146" t="s">
        <v>28</v>
      </c>
      <c r="F374" s="111" t="s">
        <v>504</v>
      </c>
      <c r="G374" s="293" t="s">
        <v>906</v>
      </c>
      <c r="H374" s="33" t="s">
        <v>1023</v>
      </c>
      <c r="I374" s="114">
        <v>500000</v>
      </c>
      <c r="J374" s="96" t="s">
        <v>31</v>
      </c>
      <c r="K374" s="68" t="s">
        <v>1024</v>
      </c>
      <c r="L374" s="54">
        <v>97000</v>
      </c>
      <c r="M374" s="38"/>
      <c r="N374" s="115" t="s">
        <v>107</v>
      </c>
      <c r="O374" s="115" t="s">
        <v>107</v>
      </c>
      <c r="P374" s="115" t="s">
        <v>107</v>
      </c>
      <c r="Q374" s="115" t="s">
        <v>107</v>
      </c>
      <c r="R374" s="115" t="s">
        <v>107</v>
      </c>
      <c r="S374" s="234">
        <v>1</v>
      </c>
      <c r="T374" s="99"/>
      <c r="U374" s="99"/>
      <c r="V374" s="99"/>
      <c r="W374" s="116"/>
      <c r="X374" s="246" t="s">
        <v>1025</v>
      </c>
      <c r="Y374" s="100"/>
    </row>
    <row r="375" spans="1:26" ht="45.75" customHeight="1">
      <c r="A375" s="91">
        <v>372</v>
      </c>
      <c r="B375" s="110" t="s">
        <v>1026</v>
      </c>
      <c r="C375" s="111" t="s">
        <v>1027</v>
      </c>
      <c r="D375" s="93" t="s">
        <v>28</v>
      </c>
      <c r="E375" s="146" t="s">
        <v>28</v>
      </c>
      <c r="F375" s="111" t="s">
        <v>531</v>
      </c>
      <c r="G375" s="293" t="s">
        <v>906</v>
      </c>
      <c r="H375" s="38">
        <f>0.3048*103</f>
        <v>31.394400000000001</v>
      </c>
      <c r="I375" s="114">
        <v>500000</v>
      </c>
      <c r="J375" s="96" t="s">
        <v>31</v>
      </c>
      <c r="K375" s="68" t="s">
        <v>416</v>
      </c>
      <c r="L375" s="54">
        <v>485000</v>
      </c>
      <c r="M375" s="194">
        <f>L375/(I375-I375*3%)</f>
        <v>1</v>
      </c>
      <c r="N375" s="233" t="s">
        <v>107</v>
      </c>
      <c r="O375" s="233" t="s">
        <v>107</v>
      </c>
      <c r="P375" s="233" t="s">
        <v>107</v>
      </c>
      <c r="Q375" s="233" t="s">
        <v>107</v>
      </c>
      <c r="R375" s="233" t="s">
        <v>107</v>
      </c>
      <c r="S375" s="233" t="s">
        <v>107</v>
      </c>
      <c r="T375" s="233" t="s">
        <v>107</v>
      </c>
      <c r="U375" s="233">
        <f>-U376</f>
        <v>0</v>
      </c>
      <c r="V375" s="233">
        <f>-V376</f>
        <v>0</v>
      </c>
      <c r="W375" s="234">
        <v>1</v>
      </c>
      <c r="X375" s="236" t="s">
        <v>1028</v>
      </c>
      <c r="Y375" s="100"/>
    </row>
    <row r="376" spans="1:26" s="59" customFormat="1" ht="30">
      <c r="A376" s="120">
        <v>373</v>
      </c>
      <c r="B376" s="121" t="s">
        <v>904</v>
      </c>
      <c r="C376" s="57" t="s">
        <v>1029</v>
      </c>
      <c r="D376" s="122" t="s">
        <v>28</v>
      </c>
      <c r="E376" s="123" t="s">
        <v>28</v>
      </c>
      <c r="F376" s="136" t="s">
        <v>1030</v>
      </c>
      <c r="G376" s="137" t="s">
        <v>906</v>
      </c>
      <c r="H376" s="58"/>
      <c r="I376" s="125">
        <v>700000</v>
      </c>
      <c r="J376" s="126" t="s">
        <v>31</v>
      </c>
      <c r="K376" s="57"/>
      <c r="L376" s="56"/>
      <c r="M376" s="58"/>
      <c r="N376" s="127"/>
      <c r="O376" s="127">
        <v>1</v>
      </c>
      <c r="P376" s="128"/>
      <c r="Q376" s="128"/>
      <c r="R376" s="127"/>
      <c r="S376" s="129"/>
      <c r="T376" s="130"/>
      <c r="U376" s="130"/>
      <c r="V376" s="130"/>
      <c r="W376" s="129"/>
      <c r="X376" s="60"/>
      <c r="Y376" s="61"/>
    </row>
    <row r="377" spans="1:26" ht="30">
      <c r="A377" s="91">
        <v>374</v>
      </c>
      <c r="B377" s="110" t="s">
        <v>1031</v>
      </c>
      <c r="C377" s="111" t="s">
        <v>1032</v>
      </c>
      <c r="D377" s="93" t="s">
        <v>28</v>
      </c>
      <c r="E377" s="146" t="s">
        <v>28</v>
      </c>
      <c r="F377" s="294" t="s">
        <v>603</v>
      </c>
      <c r="G377" s="293" t="s">
        <v>906</v>
      </c>
      <c r="H377" s="38"/>
      <c r="I377" s="114">
        <v>250000</v>
      </c>
      <c r="J377" s="96" t="s">
        <v>31</v>
      </c>
      <c r="K377" s="15"/>
      <c r="L377" s="54"/>
      <c r="M377" s="38"/>
      <c r="N377" s="115">
        <v>1</v>
      </c>
      <c r="O377" s="118"/>
      <c r="P377" s="102"/>
      <c r="Q377" s="102"/>
      <c r="R377" s="115"/>
      <c r="S377" s="116"/>
      <c r="T377" s="97"/>
      <c r="U377" s="97"/>
      <c r="V377" s="97"/>
      <c r="W377" s="116"/>
      <c r="X377" s="99"/>
      <c r="Y377" s="100" t="s">
        <v>924</v>
      </c>
    </row>
    <row r="378" spans="1:26" ht="30">
      <c r="A378" s="91">
        <v>375</v>
      </c>
      <c r="B378" s="92" t="s">
        <v>1033</v>
      </c>
      <c r="C378" s="15" t="s">
        <v>1034</v>
      </c>
      <c r="D378" s="93" t="s">
        <v>28</v>
      </c>
      <c r="E378" s="94" t="s">
        <v>28</v>
      </c>
      <c r="F378" s="295" t="s">
        <v>933</v>
      </c>
      <c r="G378" s="134" t="s">
        <v>906</v>
      </c>
      <c r="H378" s="38"/>
      <c r="I378" s="131">
        <v>500000</v>
      </c>
      <c r="J378" s="96" t="s">
        <v>31</v>
      </c>
      <c r="K378" s="68" t="s">
        <v>1035</v>
      </c>
      <c r="L378" s="54"/>
      <c r="M378" s="38"/>
      <c r="N378" s="132"/>
      <c r="O378" s="132"/>
      <c r="P378" s="102"/>
      <c r="Q378" s="102"/>
      <c r="R378" s="132">
        <v>1</v>
      </c>
      <c r="S378" s="133"/>
      <c r="T378" s="99"/>
      <c r="U378" s="99"/>
      <c r="V378" s="99"/>
      <c r="W378" s="133"/>
      <c r="X378" s="99"/>
      <c r="Y378" s="100"/>
    </row>
    <row r="379" spans="1:26" ht="45">
      <c r="A379" s="91">
        <v>376</v>
      </c>
      <c r="B379" s="92" t="s">
        <v>1036</v>
      </c>
      <c r="C379" s="69" t="s">
        <v>1037</v>
      </c>
      <c r="D379" s="93" t="s">
        <v>28</v>
      </c>
      <c r="E379" s="94" t="s">
        <v>28</v>
      </c>
      <c r="F379" s="68" t="s">
        <v>933</v>
      </c>
      <c r="G379" s="134" t="s">
        <v>906</v>
      </c>
      <c r="H379" s="33"/>
      <c r="I379" s="131">
        <v>250000</v>
      </c>
      <c r="J379" s="96" t="s">
        <v>31</v>
      </c>
      <c r="K379" s="68" t="s">
        <v>1038</v>
      </c>
      <c r="L379" s="54"/>
      <c r="M379" s="38"/>
      <c r="N379" s="115" t="s">
        <v>107</v>
      </c>
      <c r="O379" s="115">
        <v>1</v>
      </c>
      <c r="P379" s="115" t="s">
        <v>107</v>
      </c>
      <c r="Q379" s="115" t="s">
        <v>107</v>
      </c>
      <c r="R379" s="132"/>
      <c r="S379" s="133"/>
      <c r="T379" s="99"/>
      <c r="U379" s="99"/>
      <c r="V379" s="99"/>
      <c r="W379" s="133"/>
      <c r="X379" s="99"/>
      <c r="Y379" s="100"/>
    </row>
    <row r="380" spans="1:26" ht="45.75" thickBot="1">
      <c r="A380" s="91">
        <v>377</v>
      </c>
      <c r="B380" s="92" t="s">
        <v>1039</v>
      </c>
      <c r="C380" s="69" t="s">
        <v>1040</v>
      </c>
      <c r="D380" s="93" t="s">
        <v>28</v>
      </c>
      <c r="E380" s="94" t="s">
        <v>28</v>
      </c>
      <c r="F380" s="68" t="s">
        <v>691</v>
      </c>
      <c r="G380" s="134" t="s">
        <v>906</v>
      </c>
      <c r="H380" s="38"/>
      <c r="I380" s="131">
        <v>150000</v>
      </c>
      <c r="J380" s="96" t="s">
        <v>31</v>
      </c>
      <c r="K380" s="15"/>
      <c r="L380" s="54"/>
      <c r="M380" s="38"/>
      <c r="N380" s="115">
        <v>1</v>
      </c>
      <c r="O380" s="115"/>
      <c r="P380" s="102"/>
      <c r="Q380" s="102"/>
      <c r="R380" s="132"/>
      <c r="S380" s="133"/>
      <c r="T380" s="97"/>
      <c r="U380" s="97"/>
      <c r="V380" s="97"/>
      <c r="W380" s="133"/>
      <c r="X380" s="99"/>
      <c r="Y380" s="100"/>
    </row>
    <row r="381" spans="1:26" ht="30.75" thickBot="1">
      <c r="A381" s="91">
        <v>378</v>
      </c>
      <c r="B381" s="92" t="s">
        <v>1041</v>
      </c>
      <c r="C381" s="69" t="s">
        <v>1042</v>
      </c>
      <c r="D381" s="93" t="s">
        <v>28</v>
      </c>
      <c r="E381" s="94" t="s">
        <v>28</v>
      </c>
      <c r="F381" s="112" t="s">
        <v>434</v>
      </c>
      <c r="G381" s="134" t="s">
        <v>906</v>
      </c>
      <c r="H381" s="38"/>
      <c r="I381" s="131">
        <v>500000</v>
      </c>
      <c r="J381" s="96" t="s">
        <v>31</v>
      </c>
      <c r="K381" s="15"/>
      <c r="L381" s="54"/>
      <c r="M381" s="38"/>
      <c r="N381" s="115" t="s">
        <v>107</v>
      </c>
      <c r="O381" s="115" t="s">
        <v>107</v>
      </c>
      <c r="P381" s="115" t="s">
        <v>107</v>
      </c>
      <c r="Q381" s="115" t="s">
        <v>107</v>
      </c>
      <c r="R381" s="115">
        <v>1</v>
      </c>
      <c r="S381" s="133"/>
      <c r="T381" s="97"/>
      <c r="U381" s="97"/>
      <c r="V381" s="97"/>
      <c r="W381" s="133"/>
      <c r="X381" s="99"/>
      <c r="Y381" s="100"/>
    </row>
    <row r="382" spans="1:26" ht="30">
      <c r="A382" s="91">
        <v>379</v>
      </c>
      <c r="B382" s="92" t="s">
        <v>1043</v>
      </c>
      <c r="C382" s="69" t="s">
        <v>1044</v>
      </c>
      <c r="D382" s="93" t="s">
        <v>28</v>
      </c>
      <c r="E382" s="94" t="s">
        <v>28</v>
      </c>
      <c r="F382" s="68" t="s">
        <v>638</v>
      </c>
      <c r="G382" s="134" t="s">
        <v>906</v>
      </c>
      <c r="H382" s="38"/>
      <c r="I382" s="114">
        <v>500000</v>
      </c>
      <c r="J382" s="96" t="s">
        <v>31</v>
      </c>
      <c r="K382" s="15"/>
      <c r="L382" s="54"/>
      <c r="M382" s="38"/>
      <c r="N382" s="115" t="s">
        <v>107</v>
      </c>
      <c r="O382" s="115">
        <v>1</v>
      </c>
      <c r="P382" s="102"/>
      <c r="Q382" s="102"/>
      <c r="R382" s="115"/>
      <c r="S382" s="116"/>
      <c r="T382" s="97"/>
      <c r="U382" s="97"/>
      <c r="V382" s="97"/>
      <c r="W382" s="116"/>
      <c r="X382" s="99"/>
      <c r="Y382" s="100"/>
    </row>
    <row r="383" spans="1:26" ht="30">
      <c r="A383" s="91">
        <v>380</v>
      </c>
      <c r="B383" s="92" t="s">
        <v>1045</v>
      </c>
      <c r="C383" s="69" t="s">
        <v>1046</v>
      </c>
      <c r="D383" s="93" t="s">
        <v>28</v>
      </c>
      <c r="E383" s="94" t="s">
        <v>28</v>
      </c>
      <c r="F383" s="15"/>
      <c r="G383" s="134" t="s">
        <v>906</v>
      </c>
      <c r="H383" s="38"/>
      <c r="I383" s="131">
        <v>1000000</v>
      </c>
      <c r="J383" s="96" t="s">
        <v>31</v>
      </c>
      <c r="K383" s="15"/>
      <c r="L383" s="54"/>
      <c r="M383" s="38"/>
      <c r="N383" s="115" t="s">
        <v>107</v>
      </c>
      <c r="O383" s="115" t="s">
        <v>107</v>
      </c>
      <c r="P383" s="115" t="s">
        <v>107</v>
      </c>
      <c r="Q383" s="115" t="s">
        <v>107</v>
      </c>
      <c r="R383" s="115" t="s">
        <v>107</v>
      </c>
      <c r="S383" s="234">
        <v>1</v>
      </c>
      <c r="T383" s="99"/>
      <c r="U383" s="99"/>
      <c r="V383" s="99"/>
      <c r="W383" s="133"/>
      <c r="X383" s="99"/>
      <c r="Y383" s="100"/>
    </row>
    <row r="384" spans="1:26" ht="45">
      <c r="A384" s="91">
        <v>381</v>
      </c>
      <c r="B384" s="110" t="s">
        <v>1047</v>
      </c>
      <c r="C384" s="15" t="s">
        <v>1048</v>
      </c>
      <c r="D384" s="93" t="s">
        <v>28</v>
      </c>
      <c r="E384" s="94" t="s">
        <v>28</v>
      </c>
      <c r="F384" s="68" t="s">
        <v>1049</v>
      </c>
      <c r="G384" s="296" t="s">
        <v>92</v>
      </c>
      <c r="H384" s="38"/>
      <c r="I384" s="55">
        <v>500000</v>
      </c>
      <c r="J384" s="38"/>
      <c r="K384" s="15"/>
      <c r="L384" s="54"/>
      <c r="M384" s="38"/>
      <c r="N384" s="115" t="s">
        <v>107</v>
      </c>
      <c r="O384" s="115" t="s">
        <v>107</v>
      </c>
      <c r="P384" s="115" t="s">
        <v>107</v>
      </c>
      <c r="Q384" s="208">
        <v>1</v>
      </c>
      <c r="R384" s="115" t="s">
        <v>107</v>
      </c>
      <c r="S384" s="115" t="s">
        <v>107</v>
      </c>
      <c r="T384" s="99"/>
      <c r="U384" s="99"/>
      <c r="V384" s="99"/>
      <c r="W384" s="116"/>
      <c r="X384" s="99"/>
      <c r="Y384" s="100"/>
    </row>
    <row r="385" spans="1:26" ht="43.5" thickBot="1">
      <c r="A385" s="297">
        <v>382</v>
      </c>
      <c r="B385" s="298" t="s">
        <v>1050</v>
      </c>
      <c r="C385" s="15" t="s">
        <v>1051</v>
      </c>
      <c r="D385" s="299" t="s">
        <v>28</v>
      </c>
      <c r="E385" s="300" t="s">
        <v>28</v>
      </c>
      <c r="F385" s="68" t="s">
        <v>1049</v>
      </c>
      <c r="G385" s="301" t="s">
        <v>92</v>
      </c>
      <c r="H385" s="302"/>
      <c r="I385" s="303">
        <v>500000</v>
      </c>
      <c r="J385" s="302"/>
      <c r="K385" s="304"/>
      <c r="L385" s="305"/>
      <c r="M385" s="302"/>
      <c r="N385" s="306" t="s">
        <v>107</v>
      </c>
      <c r="O385" s="307" t="s">
        <v>107</v>
      </c>
      <c r="P385" s="308" t="s">
        <v>107</v>
      </c>
      <c r="Q385" s="208">
        <v>1</v>
      </c>
      <c r="R385" s="306" t="s">
        <v>107</v>
      </c>
      <c r="S385" s="306" t="s">
        <v>107</v>
      </c>
      <c r="T385" s="309"/>
      <c r="U385" s="309"/>
      <c r="V385" s="309"/>
      <c r="W385" s="310"/>
      <c r="X385" s="309"/>
      <c r="Y385" s="311"/>
    </row>
    <row r="386" spans="1:26" ht="30.75" customHeight="1">
      <c r="A386" s="138"/>
      <c r="B386" s="139"/>
      <c r="C386" s="139"/>
      <c r="D386" s="140"/>
      <c r="E386" s="140"/>
      <c r="F386" s="140"/>
      <c r="G386" s="139"/>
      <c r="H386" s="141">
        <f t="shared" ref="H386:L386" si="49">SUM(H4:H385)</f>
        <v>15363.752269999986</v>
      </c>
      <c r="I386" s="141">
        <f t="shared" si="49"/>
        <v>211645000</v>
      </c>
      <c r="J386" s="141">
        <f t="shared" si="49"/>
        <v>0</v>
      </c>
      <c r="K386" s="141">
        <f t="shared" si="49"/>
        <v>0</v>
      </c>
      <c r="L386" s="142">
        <f t="shared" si="49"/>
        <v>68601270.699999988</v>
      </c>
      <c r="M386" s="141"/>
      <c r="N386" s="141">
        <f t="shared" ref="N386:V386" si="50">SUM(N4:N385)</f>
        <v>37</v>
      </c>
      <c r="O386" s="141">
        <f t="shared" si="50"/>
        <v>17</v>
      </c>
      <c r="P386" s="141">
        <f t="shared" si="50"/>
        <v>0</v>
      </c>
      <c r="Q386" s="141">
        <f t="shared" si="50"/>
        <v>7</v>
      </c>
      <c r="R386" s="141">
        <v>68</v>
      </c>
      <c r="S386" s="141">
        <f t="shared" si="50"/>
        <v>28</v>
      </c>
      <c r="T386" s="141">
        <f t="shared" si="50"/>
        <v>0</v>
      </c>
      <c r="U386" s="141">
        <f t="shared" si="50"/>
        <v>0</v>
      </c>
      <c r="V386" s="141">
        <f t="shared" si="50"/>
        <v>0</v>
      </c>
      <c r="W386" s="141">
        <f>SUM(W4:W385)</f>
        <v>225</v>
      </c>
      <c r="X386" s="143"/>
      <c r="Y386" s="144"/>
    </row>
    <row r="387" spans="1:26">
      <c r="E387" s="146" t="s">
        <v>1052</v>
      </c>
      <c r="F387" s="147"/>
      <c r="G387" s="148"/>
      <c r="H387" s="149"/>
      <c r="I387" s="67">
        <f>SUM(I4:I30)</f>
        <v>12470000</v>
      </c>
      <c r="L387" s="54">
        <f>SUM(L4:L30)</f>
        <v>7097060.9699999997</v>
      </c>
      <c r="M387" s="67">
        <f t="shared" ref="M387:Y387" si="51">SUM(M4:M30)</f>
        <v>13.991394252577319</v>
      </c>
      <c r="N387" s="150">
        <f t="shared" si="51"/>
        <v>1</v>
      </c>
      <c r="O387" s="150">
        <f t="shared" si="51"/>
        <v>0</v>
      </c>
      <c r="P387" s="150">
        <f t="shared" si="51"/>
        <v>0</v>
      </c>
      <c r="Q387" s="150">
        <f t="shared" si="51"/>
        <v>4</v>
      </c>
      <c r="R387" s="150">
        <f t="shared" si="51"/>
        <v>2</v>
      </c>
      <c r="S387" s="150">
        <f t="shared" si="51"/>
        <v>0</v>
      </c>
      <c r="T387" s="150">
        <f t="shared" si="51"/>
        <v>0</v>
      </c>
      <c r="U387" s="150">
        <f t="shared" si="51"/>
        <v>0</v>
      </c>
      <c r="V387" s="150">
        <f t="shared" si="51"/>
        <v>0</v>
      </c>
      <c r="W387" s="150">
        <f t="shared" si="51"/>
        <v>20</v>
      </c>
      <c r="X387" s="151"/>
      <c r="Y387" s="152">
        <f t="shared" si="51"/>
        <v>0</v>
      </c>
    </row>
    <row r="388" spans="1:26">
      <c r="E388" s="146" t="s">
        <v>1053</v>
      </c>
      <c r="F388" s="147"/>
      <c r="G388" s="148"/>
      <c r="H388" s="149"/>
      <c r="I388" s="54">
        <f>SUM(I31:I385)</f>
        <v>199175000</v>
      </c>
      <c r="L388" s="54">
        <f>SUM(L31:L385)</f>
        <v>61504209.729999997</v>
      </c>
      <c r="M388" s="153"/>
      <c r="N388" s="154">
        <f t="shared" ref="N388:W388" si="52">SUM(N31:N385)</f>
        <v>36</v>
      </c>
      <c r="O388" s="154">
        <f t="shared" si="52"/>
        <v>17</v>
      </c>
      <c r="P388" s="154">
        <f t="shared" si="52"/>
        <v>0</v>
      </c>
      <c r="Q388" s="154">
        <f t="shared" si="52"/>
        <v>3</v>
      </c>
      <c r="R388" s="154">
        <v>66</v>
      </c>
      <c r="S388" s="154">
        <f t="shared" si="52"/>
        <v>28</v>
      </c>
      <c r="T388" s="154">
        <f t="shared" si="52"/>
        <v>0</v>
      </c>
      <c r="U388" s="154">
        <f t="shared" si="52"/>
        <v>0</v>
      </c>
      <c r="V388" s="154">
        <f t="shared" si="52"/>
        <v>0</v>
      </c>
      <c r="W388" s="154">
        <f t="shared" si="52"/>
        <v>205</v>
      </c>
      <c r="X388" s="150"/>
      <c r="Y388" s="155"/>
      <c r="Z388" s="156" t="e">
        <f>SUM(#REF!)</f>
        <v>#REF!</v>
      </c>
    </row>
    <row r="389" spans="1:26">
      <c r="E389" s="146" t="s">
        <v>1054</v>
      </c>
      <c r="F389" s="147"/>
      <c r="G389" s="148"/>
      <c r="H389" s="149"/>
      <c r="I389" s="67">
        <f>SUM(I387:I388)</f>
        <v>211645000</v>
      </c>
      <c r="L389" s="54">
        <f t="shared" ref="L389:Y389" si="53">SUM(L387:L388)</f>
        <v>68601270.700000003</v>
      </c>
      <c r="M389" s="67">
        <f t="shared" si="53"/>
        <v>13.991394252577319</v>
      </c>
      <c r="N389" s="150">
        <f t="shared" si="53"/>
        <v>37</v>
      </c>
      <c r="O389" s="150">
        <f t="shared" si="53"/>
        <v>17</v>
      </c>
      <c r="P389" s="150">
        <f t="shared" si="53"/>
        <v>0</v>
      </c>
      <c r="Q389" s="150">
        <f t="shared" si="53"/>
        <v>7</v>
      </c>
      <c r="R389" s="150">
        <f t="shared" si="53"/>
        <v>68</v>
      </c>
      <c r="S389" s="150">
        <f t="shared" si="53"/>
        <v>28</v>
      </c>
      <c r="T389" s="150">
        <f t="shared" si="53"/>
        <v>0</v>
      </c>
      <c r="U389" s="150">
        <f t="shared" si="53"/>
        <v>0</v>
      </c>
      <c r="V389" s="150">
        <f t="shared" si="53"/>
        <v>0</v>
      </c>
      <c r="W389" s="150">
        <f t="shared" si="53"/>
        <v>225</v>
      </c>
      <c r="X389" s="150"/>
      <c r="Y389" s="152">
        <f t="shared" si="53"/>
        <v>0</v>
      </c>
      <c r="Z389" s="156" t="e">
        <f>SUM(#REF!)</f>
        <v>#REF!</v>
      </c>
    </row>
    <row r="390" spans="1:26">
      <c r="G390" s="2"/>
      <c r="I390" s="156"/>
      <c r="M390" s="157"/>
      <c r="N390" s="158"/>
      <c r="Q390" s="159"/>
      <c r="R390" s="160"/>
      <c r="Y390" s="162"/>
    </row>
    <row r="391" spans="1:26">
      <c r="G391" s="2"/>
      <c r="I391" s="156"/>
      <c r="M391" s="157"/>
      <c r="N391" s="158"/>
      <c r="Q391" s="159"/>
      <c r="R391" s="160"/>
      <c r="Y391" s="162"/>
    </row>
    <row r="392" spans="1:26">
      <c r="G392" s="2"/>
      <c r="M392" s="157"/>
      <c r="N392" s="158"/>
      <c r="R392" s="158"/>
      <c r="Y392" s="162"/>
    </row>
    <row r="393" spans="1:26">
      <c r="G393" s="2"/>
      <c r="I393" s="3"/>
      <c r="M393" s="157"/>
      <c r="N393" s="158"/>
      <c r="O393" s="163"/>
      <c r="Q393" s="159"/>
      <c r="R393" s="164"/>
      <c r="S393" s="165"/>
      <c r="Y393" s="162"/>
    </row>
    <row r="394" spans="1:26">
      <c r="G394" s="2"/>
      <c r="I394" s="156"/>
      <c r="M394" s="157"/>
      <c r="N394" s="158"/>
      <c r="R394" s="158"/>
      <c r="S394" s="158"/>
      <c r="T394" s="158"/>
      <c r="U394" s="158"/>
      <c r="V394" s="158"/>
      <c r="W394" s="158"/>
      <c r="Y394" s="162"/>
    </row>
    <row r="395" spans="1:26">
      <c r="G395" s="2"/>
      <c r="I395" s="156"/>
      <c r="M395" s="157"/>
      <c r="N395" s="158"/>
      <c r="Q395" s="159"/>
      <c r="R395" s="160"/>
      <c r="Y395" s="162"/>
    </row>
    <row r="396" spans="1:26">
      <c r="G396" s="2"/>
      <c r="M396" s="157"/>
      <c r="N396" s="158"/>
      <c r="Q396" s="159"/>
      <c r="R396" s="160"/>
      <c r="Y396" s="166"/>
    </row>
    <row r="397" spans="1:26">
      <c r="G397" s="2"/>
      <c r="M397" s="157"/>
      <c r="N397" s="158"/>
      <c r="Q397" s="159"/>
      <c r="R397" s="160"/>
      <c r="Y397" s="162"/>
    </row>
    <row r="398" spans="1:26">
      <c r="C398" s="167"/>
      <c r="G398" s="2"/>
      <c r="M398" s="157"/>
      <c r="N398" s="158"/>
      <c r="Q398" s="159"/>
      <c r="R398" s="160"/>
      <c r="Y398" s="168"/>
    </row>
    <row r="399" spans="1:26">
      <c r="G399" s="2"/>
      <c r="I399" s="3"/>
      <c r="M399" s="157"/>
      <c r="N399" s="158"/>
      <c r="Q399" s="159"/>
      <c r="R399" s="160"/>
      <c r="Y399" s="168"/>
    </row>
    <row r="400" spans="1:26">
      <c r="G400" s="2"/>
      <c r="M400" s="157"/>
      <c r="N400" s="158"/>
      <c r="Q400" s="159"/>
      <c r="R400" s="160"/>
      <c r="Y400" s="166"/>
    </row>
    <row r="401" spans="7:25">
      <c r="G401" s="2"/>
      <c r="M401" s="157"/>
      <c r="N401" s="158"/>
      <c r="Q401" s="159"/>
      <c r="R401" s="160"/>
      <c r="Y401" s="166"/>
    </row>
    <row r="402" spans="7:25">
      <c r="G402" s="2"/>
      <c r="M402" s="157"/>
      <c r="N402" s="158"/>
      <c r="R402" s="160"/>
      <c r="Y402" s="166"/>
    </row>
    <row r="403" spans="7:25">
      <c r="G403" s="2"/>
      <c r="M403" s="157"/>
      <c r="N403" s="158"/>
      <c r="Q403" s="159"/>
      <c r="R403" s="160"/>
      <c r="Y403" s="166"/>
    </row>
    <row r="404" spans="7:25">
      <c r="G404" s="2"/>
      <c r="M404" s="157"/>
      <c r="N404" s="158"/>
      <c r="Q404" s="159"/>
      <c r="R404" s="160"/>
      <c r="Y404" s="162"/>
    </row>
    <row r="405" spans="7:25">
      <c r="G405" s="2"/>
      <c r="M405" s="157"/>
      <c r="N405" s="158"/>
      <c r="Q405" s="159"/>
      <c r="R405" s="160"/>
      <c r="Y405" s="162"/>
    </row>
    <row r="406" spans="7:25">
      <c r="G406" s="2"/>
      <c r="M406" s="157"/>
      <c r="N406" s="158"/>
      <c r="Q406" s="159"/>
      <c r="R406" s="160"/>
      <c r="Y406" s="162"/>
    </row>
    <row r="407" spans="7:25">
      <c r="G407" s="2"/>
      <c r="M407" s="157"/>
      <c r="N407" s="158"/>
      <c r="Q407" s="159"/>
      <c r="R407" s="160"/>
      <c r="Y407" s="162"/>
    </row>
    <row r="408" spans="7:25">
      <c r="G408" s="2"/>
      <c r="M408" s="157"/>
      <c r="N408" s="158"/>
      <c r="Q408" s="159"/>
      <c r="R408" s="160"/>
      <c r="Y408" s="162"/>
    </row>
    <row r="409" spans="7:25">
      <c r="G409" s="2"/>
      <c r="M409" s="157"/>
      <c r="N409" s="158"/>
      <c r="Q409" s="159"/>
      <c r="R409" s="160"/>
      <c r="Y409" s="162"/>
    </row>
    <row r="410" spans="7:25">
      <c r="G410" s="2"/>
      <c r="M410" s="157"/>
      <c r="N410" s="158"/>
      <c r="Q410" s="159"/>
      <c r="R410" s="160"/>
      <c r="Y410" s="162"/>
    </row>
    <row r="411" spans="7:25">
      <c r="G411" s="2"/>
      <c r="M411" s="157"/>
      <c r="N411" s="158"/>
      <c r="Q411" s="159"/>
      <c r="R411" s="160"/>
      <c r="Y411" s="162"/>
    </row>
    <row r="412" spans="7:25">
      <c r="G412" s="2"/>
      <c r="M412" s="157"/>
      <c r="N412" s="158"/>
      <c r="Q412" s="159"/>
      <c r="R412" s="160"/>
      <c r="Y412" s="162"/>
    </row>
    <row r="413" spans="7:25">
      <c r="G413" s="2"/>
      <c r="M413" s="157"/>
      <c r="N413" s="158"/>
      <c r="Q413" s="159"/>
      <c r="R413" s="160"/>
      <c r="Y413" s="162"/>
    </row>
  </sheetData>
  <autoFilter ref="A3:Y389">
    <filterColumn colId="2"/>
    <filterColumn colId="3"/>
    <filterColumn colId="4"/>
    <filterColumn colId="5"/>
    <filterColumn colId="7"/>
    <filterColumn colId="9"/>
    <filterColumn colId="10"/>
    <filterColumn colId="11"/>
    <filterColumn colId="12"/>
    <filterColumn colId="14"/>
    <filterColumn colId="15"/>
    <filterColumn colId="16"/>
    <filterColumn colId="19"/>
    <filterColumn colId="20"/>
    <filterColumn colId="21"/>
  </autoFilter>
  <mergeCells count="2">
    <mergeCell ref="A1:Y1"/>
    <mergeCell ref="A2:Y2"/>
  </mergeCells>
  <pageMargins left="0.25" right="0.25" top="0.51" bottom="0.38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(2)</vt:lpstr>
      <vt:lpstr>'All (2)'!Print_Area</vt:lpstr>
      <vt:lpstr>'All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dharshaka</dc:creator>
  <cp:lastModifiedBy>dharshaka</cp:lastModifiedBy>
  <cp:lastPrinted>2019-06-03T22:17:58Z</cp:lastPrinted>
  <dcterms:created xsi:type="dcterms:W3CDTF">2019-06-03T21:54:14Z</dcterms:created>
  <dcterms:modified xsi:type="dcterms:W3CDTF">2019-06-19T21:19:49Z</dcterms:modified>
</cp:coreProperties>
</file>